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015" windowHeight="11505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<sst xmlns="http://schemas.openxmlformats.org/spreadsheetml/2006/main" count="1869" uniqueCount="665">
  <si>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</si>
  <si>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</si>
  <si>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</si>
  <si>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</si>
  <si>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</si>
  <si>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</si>
  <si>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</si>
  <si>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</si>
  <si>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</si>
  <si>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</si>
  <si>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</si>
  <si>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</si>
  <si>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</si>
  <si>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</si>
  <si>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</si>
  <si>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</si>
  <si>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</si>
  <si>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</si>
  <si>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</si>
  <si>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</si>
  <si>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</si>
  <si>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</si>
  <si>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</si>
  <si>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</si>
  <si>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</si>
  <si>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</si>
  <si>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</si>
  <si>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</si>
  <si>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</si>
  <si>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</si>
  <si>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</si>
  <si>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</si>
  <si>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</si>
  <si>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</si>
  <si>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</si>
  <si>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</si>
  <si>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</si>
  <si>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</si>
  <si>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</si>
  <si>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</si>
  <si>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</si>
  <si>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</si>
  <si>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</si>
  <si>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</si>
  <si>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</si>
  <si>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</si>
  <si>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</si>
  <si>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</si>
  <si>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</si>
  <si>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</si>
  <si>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</si>
  <si>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</si>
  <si>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</si>
  <si>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</si>
  <si>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</si>
  <si>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</si>
  <si>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</si>
  <si>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</si>
  <si>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</si>
  <si>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</si>
  <si>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</si>
  <si>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</si>
  <si>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</si>
  <si>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</si>
  <si>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</si>
  <si>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</si>
  <si>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</si>
  <si>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</si>
  <si>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</si>
  <si>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</si>
  <si>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</si>
  <si>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</si>
  <si>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</si>
  <si>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</si>
  <si>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</si>
  <si>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</si>
  <si>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</si>
  <si>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</si>
  <si>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</si>
  <si>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</si>
  <si>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</si>
  <si>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</si>
  <si>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</si>
  <si>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</si>
  <si>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</si>
  <si>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</si>
  <si>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</si>
  <si>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</si>
  <si>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</si>
  <si>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</si>
  <si>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</si>
  <si>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</si>
  <si>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</si>
  <si>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</si>
  <si>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</si>
  <si>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</si>
  <si>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</si>
  <si>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</si>
  <si>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</si>
  <si>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</si>
  <si>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</si>
  <si>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</si>
  <si>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</si>
  <si>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</si>
  <si>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</si>
  <si>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</si>
  <si>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</si>
  <si>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</si>
  <si>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</si>
  <si>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</si>
  <si>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</si>
  <si>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</si>
  <si>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</si>
  <si>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</si>
  <si>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</si>
  <si>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</si>
  <si>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</si>
  <si>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</si>
  <si>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</si>
  <si>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</si>
  <si>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</si>
  <si>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</si>
  <si>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</si>
  <si>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</si>
  <si>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</si>
  <si>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</si>
  <si>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</si>
  <si>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</si>
  <si>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</si>
  <si>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</si>
  <si>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</si>
  <si>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</si>
  <si>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</si>
  <si>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</si>
  <si>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</si>
  <si>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</si>
  <si>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</si>
  <si>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</si>
  <si>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</si>
  <si>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</si>
  <si>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</si>
  <si>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</si>
  <si>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</si>
  <si>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</si>
  <si>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</si>
  <si>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</si>
  <si>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</si>
  <si>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</si>
  <si>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</si>
  <si>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</si>
  <si>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</si>
  <si>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</si>
  <si>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</si>
  <si>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</si>
  <si>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</si>
  <si>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</si>
  <si>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</si>
  <si>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</si>
  <si>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</si>
  <si>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</si>
  <si>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</si>
  <si>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</si>
  <si>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</si>
  <si>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</si>
  <si>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</si>
  <si>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</si>
  <si>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</si>
  <si>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</si>
  <si>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</si>
  <si>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</si>
  <si>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</si>
  <si>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</si>
  <si>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</si>
  <si>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</si>
  <si>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</si>
  <si>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</si>
  <si>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</si>
  <si>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</si>
  <si>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</si>
  <si>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</si>
  <si>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</si>
  <si>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</si>
  <si>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</si>
  <si>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</si>
  <si>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</si>
  <si>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</si>
  <si>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</si>
  <si>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</si>
  <si>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</si>
  <si>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</si>
  <si>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</si>
  <si>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</si>
  <si>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</si>
  <si>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</si>
  <si>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</si>
  <si>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</si>
  <si>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</si>
  <si>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</si>
  <si>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</si>
  <si>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</si>
  <si>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</si>
  <si>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</si>
  <si>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</si>
  <si>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</si>
  <si>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</si>
  <si>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</si>
  <si>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</si>
  <si>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</si>
  <si>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</si>
  <si>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</si>
  <si>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</si>
  <si>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</si>
  <si>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</si>
  <si>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</si>
  <si>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</si>
  <si>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</si>
  <si>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</si>
  <si>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</si>
  <si>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</si>
  <si>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</si>
  <si>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</si>
  <si>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</si>
  <si>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</si>
  <si>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</si>
  <si>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</si>
  <si>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</si>
  <si>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</si>
  <si>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</si>
  <si>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</si>
  <si>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</si>
  <si>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</si>
  <si>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</si>
  <si>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</si>
  <si>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</si>
  <si>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</si>
  <si>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</si>
  <si>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</si>
  <si>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</si>
  <si>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</si>
  <si>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</si>
  <si>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</si>
  <si>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</si>
  <si>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</si>
  <si>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</si>
  <si>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</si>
  <si>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</si>
  <si>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</si>
  <si>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</si>
  <si>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</si>
  <si>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</si>
  <si>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</si>
  <si>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</si>
  <si>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</si>
  <si>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</si>
  <si>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</si>
  <si>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</si>
  <si>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</si>
  <si>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</si>
  <si>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</si>
  <si>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</si>
  <si>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</si>
  <si>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</si>
  <si>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</si>
  <si>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</si>
  <si>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</si>
  <si>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</si>
  <si>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</si>
  <si>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</si>
  <si>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</si>
  <si>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</si>
  <si>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</si>
  <si>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</si>
  <si>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</si>
  <si>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</si>
  <si>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</si>
  <si>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</si>
  <si>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</si>
  <si>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</si>
  <si>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</si>
  <si>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</si>
  <si>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</si>
  <si>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</si>
  <si>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</si>
  <si>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</si>
  <si>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</si>
  <si>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</si>
  <si>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</si>
  <si>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</si>
  <si>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</si>
  <si>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</si>
  <si>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</si>
  <si>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</si>
  <si>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</si>
  <si>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</si>
  <si>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</si>
  <si>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</si>
  <si>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</si>
  <si>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</si>
  <si>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</si>
  <si>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</si>
  <si>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</si>
  <si>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</si>
  <si>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</si>
  <si>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</si>
  <si>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</si>
  <si>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</si>
  <si>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</si>
  <si>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</si>
  <si>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</si>
  <si>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</si>
  <si>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</si>
  <si>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</si>
  <si>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</si>
  <si>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</si>
  <si>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</si>
  <si>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</si>
  <si>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</si>
  <si>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</si>
  <si>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</si>
  <si>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</si>
  <si>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</si>
  <si>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</si>
  <si>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</si>
  <si>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</si>
  <si>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</si>
  <si>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</si>
  <si>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</si>
  <si>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</si>
  <si>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</si>
  <si>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</si>
  <si>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</si>
  <si>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</si>
  <si>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</si>
  <si>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</si>
  <si>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</si>
  <si>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</si>
  <si>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</si>
  <si>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</si>
  <si>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</si>
  <si>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</si>
  <si>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</si>
  <si>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</si>
  <si>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</si>
  <si>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</si>
  <si>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</si>
  <si>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</si>
  <si>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</si>
  <si>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</si>
  <si>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</si>
  <si>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</si>
  <si>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</si>
  <si>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</si>
  <si>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</si>
  <si>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</si>
  <si>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</si>
  <si>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</si>
  <si>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</si>
  <si>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</si>
  <si>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</si>
  <si>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</si>
  <si>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</si>
  <si>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</si>
  <si>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</si>
  <si>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</si>
  <si>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</si>
  <si>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</si>
  <si>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</si>
  <si>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</si>
  <si>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</si>
  <si>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</si>
  <si>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</si>
  <si>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</si>
  <si>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</si>
  <si>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</si>
  <si>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</si>
  <si>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</si>
  <si>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</si>
  <si>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</si>
  <si>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</si>
  <si>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</si>
  <si>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</si>
  <si>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</si>
  <si>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</si>
  <si>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</si>
  <si>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</si>
  <si>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</si>
  <si>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</si>
  <si>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</si>
  <si>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</si>
  <si>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</si>
  <si>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</si>
  <si>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</si>
  <si>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</si>
  <si>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</si>
  <si>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</si>
  <si>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</si>
  <si>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</si>
  <si>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</si>
  <si>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</si>
  <si>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</si>
  <si>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</si>
  <si>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</si>
  <si>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</si>
  <si>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</si>
  <si>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</si>
  <si>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</si>
  <si>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</si>
  <si>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</si>
  <si>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</si>
  <si>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</si>
  <si>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</si>
  <si>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</si>
  <si>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</si>
  <si>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</si>
  <si>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</si>
  <si>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</si>
  <si>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</si>
  <si>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</si>
  <si>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</si>
  <si>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</si>
  <si>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</si>
  <si>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</si>
  <si>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</si>
  <si>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</si>
  <si>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</si>
  <si>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</si>
  <si>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</si>
  <si>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</si>
  <si>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</si>
  <si>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</si>
  <si>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</si>
  <si>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</si>
  <si>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</si>
  <si>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</si>
  <si>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</si>
  <si>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</si>
  <si>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</si>
  <si>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</si>
  <si>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</si>
  <si>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</si>
  <si>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</si>
  <si>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</si>
  <si>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</si>
  <si>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</si>
  <si>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</si>
  <si>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</si>
  <si>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</si>
  <si>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</si>
  <si>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</si>
  <si>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</si>
  <si>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</si>
  <si>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</si>
  <si>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</si>
  <si>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</si>
  <si>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</si>
  <si>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</si>
  <si>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</si>
  <si>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</si>
  <si>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</si>
  <si>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</si>
  <si>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</si>
  <si>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</si>
  <si>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</si>
  <si>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</si>
  <si>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</si>
  <si>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</si>
  <si>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</si>
  <si>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</si>
  <si>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</si>
  <si>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</si>
  <si>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</si>
  <si>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</si>
  <si>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</si>
  <si>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</si>
  <si>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</si>
  <si>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</si>
  <si>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</si>
  <si>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</si>
  <si>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</si>
  <si>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</si>
  <si>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</si>
  <si>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</si>
  <si>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</si>
  <si>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</si>
  <si>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</si>
  <si>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</si>
  <si>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</si>
  <si>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</si>
  <si>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</si>
  <si>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</si>
  <si>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</si>
  <si>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</si>
  <si>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</si>
  <si>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</si>
  <si>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</si>
  <si>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</si>
  <si>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</si>
  <si>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</si>
  <si>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</si>
  <si>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</si>
  <si>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</si>
  <si>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</si>
  <si>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</si>
  <si>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</si>
  <si>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</si>
  <si>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</si>
  <si>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</si>
  <si>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</si>
  <si>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</si>
  <si>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</si>
  <si>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</si>
  <si>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</si>
  <si>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</si>
  <si>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</si>
  <si>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</si>
  <si>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</si>
  <si>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</si>
  <si>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</si>
  <si>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</si>
  <si>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</si>
  <si>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</si>
  <si>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</si>
  <si>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</si>
  <si>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</si>
  <si>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</si>
  <si>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</si>
  <si>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</si>
  <si>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</si>
  <si>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</si>
  <si>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</si>
  <si>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</si>
  <si>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</si>
  <si>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</si>
  <si>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</si>
  <si>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</si>
  <si>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</si>
  <si>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</si>
  <si>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</si>
  <si>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</si>
  <si>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</si>
  <si>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</si>
  <si>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</si>
  <si>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</si>
  <si>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</si>
  <si>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</si>
  <si>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</si>
  <si>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</si>
  <si>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</si>
  <si>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</si>
  <si>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</si>
  <si>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</si>
  <si>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</si>
  <si>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</si>
  <si>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</si>
  <si>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</si>
  <si>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</si>
  <si>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</si>
  <si>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</si>
  <si>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</si>
  <si>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</si>
  <si>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</si>
  <si>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</si>
  <si>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</si>
  <si>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</si>
  <si>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</si>
  <si>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</si>
  <si>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</si>
  <si>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</si>
  <si>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</si>
  <si>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</si>
  <si>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</si>
  <si>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</si>
  <si>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</si>
  <si>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</si>
  <si>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</si>
  <si>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</si>
  <si>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</si>
  <si>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</si>
  <si>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</si>
  <si>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</si>
  <si>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</si>
  <si>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</si>
  <si>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</si>
  <si>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</si>
  <si>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</si>
  <si>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</si>
  <si>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</si>
  <si>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</si>
  <si>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</si>
  <si>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</si>
  <si>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</si>
  <si>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</si>
  <si>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</si>
  <si>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</si>
  <si>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</si>
  <si>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</si>
  <si>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</si>
  <si>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</si>
  <si>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</si>
  <si>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</si>
  <si>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</si>
  <si>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</si>
  <si>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</si>
  <si>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</si>
  <si>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</si>
  <si>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</si>
  <si>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</si>
  <si>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</si>
  <si>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</si>
  <si>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</si>
  <si>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</si>
  <si>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</si>
  <si>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</si>
  <si>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</si>
  <si>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</si>
  <si>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</si>
  <si>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</si>
  <si>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</si>
  <si>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</si>
  <si>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</si>
  <si>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</si>
  <si>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</si>
  <si>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</si>
  <si>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</si>
  <si>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</si>
  <si>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</si>
  <si>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</si>
  <si>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</si>
  <si>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</si>
  <si>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</si>
  <si>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</si>
  <si>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</si>
  <si>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</si>
  <si>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</si>
  <si>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</si>
  <si>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</si>
  <si>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</si>
  <si>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</si>
  <si>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</si>
  <si>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</si>
  <si>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</si>
  <si>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</si>
  <si>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</si>
  <si>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</si>
  <si>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</si>
  <si>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</si>
  <si>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</si>
  <si>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</si>
  <si>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</si>
  <si>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</si>
  <si>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</si>
  <si>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</si>
  <si>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</si>
  <si>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</si>
  <si>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Сирма Груп Холдинг АД</t>
  </si>
  <si>
    <t>200101236</t>
  </si>
  <si>
    <t>Цветан Борисов Алексиев</t>
  </si>
  <si>
    <t>гр.София, бул.Цариградско шосе, 135</t>
  </si>
  <si>
    <t>www.sirma.bg</t>
  </si>
  <si>
    <t>Николай Яцино</t>
  </si>
  <si>
    <t>главен счетоводител</t>
  </si>
  <si>
    <t>изпълнителен директор</t>
  </si>
  <si>
    <t>stanislav.tanushev@sirma.bg</t>
  </si>
  <si>
    <t>http://www.x3news.com/</t>
  </si>
  <si>
    <t>29.02.2019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</si>
</sst>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9" sqref="B9:B11"/>
    </sheetView>
  </sheetViews>
  <sheetFormatPr defaultColWidth="9.140625" defaultRowHeight="15"/>
  <cols>
    <col min="1" max="1" width="30.7109375" style="419" customWidth="1"/>
    <col min="2" max="2" width="65.7109375" style="419" customWidth="1"/>
    <col min="3" max="26" width="9.140625" style="419" customWidth="1"/>
    <col min="27" max="27" width="9.8515625" style="419" bestFit="1" customWidth="1"/>
    <col min="28" max="16384" width="9.140625" style="419" customWidth="1"/>
  </cols>
  <sheetData>
    <row r="1" spans="1:27" ht="15.75">
      <c r="A1" s="1" t="s">
        <v>628</v>
      </c>
      <c r="B1" s="2"/>
      <c r="Z1" s="427">
        <v>1</v>
      </c>
      <c r="AA1" s="428">
        <f>IF(ISBLANK(_endDate),"",_endDate)</f>
        <v>43830</v>
      </c>
    </row>
    <row r="2" spans="1:27" ht="15.75">
      <c r="A2" s="418" t="s">
        <v>652</v>
      </c>
      <c r="B2" s="413"/>
      <c r="Z2" s="427">
        <v>2</v>
      </c>
      <c r="AA2" s="428" t="str">
        <f>IF(ISBLANK(_pdeReportingDate),"",_pdeReportingDate)</f>
        <v>29.02.2019</v>
      </c>
    </row>
    <row r="3" spans="1:27" ht="15.75">
      <c r="A3" s="414" t="s">
        <v>626</v>
      </c>
      <c r="B3" s="415"/>
      <c r="Z3" s="427">
        <v>3</v>
      </c>
      <c r="AA3" s="428" t="str">
        <f>IF(ISBLANK(_authorName),"",_authorName)</f>
        <v>Николай Яцино</v>
      </c>
    </row>
    <row r="4" spans="1:2" ht="15.75">
      <c r="A4" s="412" t="s">
        <v>653</v>
      </c>
      <c r="B4" s="413"/>
    </row>
    <row r="5" spans="1:2" ht="47.25">
      <c r="A5" s="416" t="s">
        <v>594</v>
      </c>
      <c r="B5" s="41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43466</v>
      </c>
    </row>
    <row r="10" spans="1:2" ht="15.75">
      <c r="A10" s="7" t="s">
        <v>2</v>
      </c>
      <c r="B10" s="313">
        <v>43830</v>
      </c>
    </row>
    <row r="11" spans="1:2" ht="15.75">
      <c r="A11" s="7" t="s">
        <v>640</v>
      </c>
      <c r="B11" s="313" t="s">
        <v>664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589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661</v>
      </c>
    </row>
    <row r="19" spans="1:2" ht="15.75">
      <c r="A19" s="7" t="s">
        <v>4</v>
      </c>
      <c r="B19" s="312" t="s">
        <v>657</v>
      </c>
    </row>
    <row r="20" spans="1:2" ht="15.75">
      <c r="A20" s="7" t="s">
        <v>5</v>
      </c>
      <c r="B20" s="312" t="s">
        <v>657</v>
      </c>
    </row>
    <row r="21" spans="1:2" ht="15.75">
      <c r="A21" s="10" t="s">
        <v>6</v>
      </c>
      <c r="B21" s="314"/>
    </row>
    <row r="22" spans="1:2" ht="15.75">
      <c r="A22" s="10" t="s">
        <v>583</v>
      </c>
      <c r="B22" s="314"/>
    </row>
    <row r="23" spans="1:2" ht="15.75">
      <c r="A23" s="10" t="s">
        <v>7</v>
      </c>
      <c r="B23" s="429" t="s">
        <v>662</v>
      </c>
    </row>
    <row r="24" spans="1:2" ht="15.75">
      <c r="A24" s="10" t="s">
        <v>584</v>
      </c>
      <c r="B24" s="430" t="s">
        <v>658</v>
      </c>
    </row>
    <row r="25" spans="1:2" ht="15.75">
      <c r="A25" s="7" t="s">
        <v>587</v>
      </c>
      <c r="B25" s="431" t="s">
        <v>663</v>
      </c>
    </row>
    <row r="26" spans="1:2" ht="15.75">
      <c r="A26" s="10" t="s">
        <v>633</v>
      </c>
      <c r="B26" s="314" t="s">
        <v>659</v>
      </c>
    </row>
    <row r="27" spans="1:2" ht="15.75">
      <c r="A27" s="10" t="s">
        <v>634</v>
      </c>
      <c r="B27" s="314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Normal="85" zoomScaleSheetLayoutView="90" zoomScalePageLayoutView="0" workbookViewId="0" topLeftCell="A70">
      <selection activeCell="E18" sqref="E1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.7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59361</v>
      </c>
      <c r="H12" s="119">
        <v>59361</v>
      </c>
    </row>
    <row r="13" spans="1:8" ht="15.75">
      <c r="A13" s="66" t="s">
        <v>27</v>
      </c>
      <c r="B13" s="68" t="s">
        <v>28</v>
      </c>
      <c r="C13" s="119">
        <v>3739</v>
      </c>
      <c r="D13" s="119">
        <v>3830</v>
      </c>
      <c r="E13" s="66" t="s">
        <v>525</v>
      </c>
      <c r="F13" s="69" t="s">
        <v>29</v>
      </c>
      <c r="G13" s="119">
        <v>59361</v>
      </c>
      <c r="H13" s="119">
        <v>59361</v>
      </c>
    </row>
    <row r="14" spans="1:8" ht="15.75">
      <c r="A14" s="66" t="s">
        <v>30</v>
      </c>
      <c r="B14" s="68" t="s">
        <v>31</v>
      </c>
      <c r="C14" s="119">
        <v>855</v>
      </c>
      <c r="D14" s="119">
        <v>861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>
        <v>-475</v>
      </c>
      <c r="H15" s="119">
        <v>-475</v>
      </c>
    </row>
    <row r="16" spans="1:8" ht="15.75">
      <c r="A16" s="66" t="s">
        <v>38</v>
      </c>
      <c r="B16" s="68" t="s">
        <v>39</v>
      </c>
      <c r="C16" s="119">
        <v>48</v>
      </c>
      <c r="D16" s="119">
        <v>82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249</v>
      </c>
      <c r="D17" s="119">
        <v>172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554</v>
      </c>
      <c r="D18" s="119">
        <v>406</v>
      </c>
      <c r="E18" s="246" t="s">
        <v>47</v>
      </c>
      <c r="F18" s="245" t="s">
        <v>48</v>
      </c>
      <c r="G18" s="343">
        <f>G12+G15+G16+G17</f>
        <v>58886</v>
      </c>
      <c r="H18" s="344">
        <f>H12+H15+H16+H17</f>
        <v>58886</v>
      </c>
    </row>
    <row r="19" spans="1:8" ht="15.75">
      <c r="A19" s="66" t="s">
        <v>49</v>
      </c>
      <c r="B19" s="68" t="s">
        <v>50</v>
      </c>
      <c r="C19" s="119">
        <v>135</v>
      </c>
      <c r="D19" s="119">
        <v>96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5580</v>
      </c>
      <c r="D20" s="332">
        <f>SUM(D12:D19)</f>
        <v>5447</v>
      </c>
      <c r="E20" s="66" t="s">
        <v>54</v>
      </c>
      <c r="F20" s="69" t="s">
        <v>55</v>
      </c>
      <c r="G20" s="119">
        <v>2326</v>
      </c>
      <c r="H20" s="119">
        <v>2326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4231</v>
      </c>
      <c r="H22" s="348">
        <f>SUM(H23:H25)</f>
        <v>3296</v>
      </c>
      <c r="M22" s="74"/>
    </row>
    <row r="23" spans="1:8" ht="15.7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1990</v>
      </c>
      <c r="H23" s="119">
        <v>3461</v>
      </c>
    </row>
    <row r="24" spans="1:13" ht="15.75">
      <c r="A24" s="66" t="s">
        <v>67</v>
      </c>
      <c r="B24" s="68" t="s">
        <v>68</v>
      </c>
      <c r="C24" s="119">
        <v>6571</v>
      </c>
      <c r="D24" s="119">
        <v>28659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83</v>
      </c>
      <c r="D25" s="119">
        <v>37</v>
      </c>
      <c r="E25" s="66" t="s">
        <v>73</v>
      </c>
      <c r="F25" s="69" t="s">
        <v>74</v>
      </c>
      <c r="G25" s="119">
        <v>2241</v>
      </c>
      <c r="H25" s="119">
        <v>-165</v>
      </c>
    </row>
    <row r="26" spans="1:13" ht="15.75">
      <c r="A26" s="66" t="s">
        <v>75</v>
      </c>
      <c r="B26" s="68" t="s">
        <v>76</v>
      </c>
      <c r="C26" s="119">
        <v>58475</v>
      </c>
      <c r="D26" s="119">
        <v>59988</v>
      </c>
      <c r="E26" s="249" t="s">
        <v>77</v>
      </c>
      <c r="F26" s="71" t="s">
        <v>78</v>
      </c>
      <c r="G26" s="331">
        <f>G20+G21+G22</f>
        <v>6557</v>
      </c>
      <c r="H26" s="332">
        <f>H20+H21+H22</f>
        <v>5622</v>
      </c>
      <c r="M26" s="74"/>
    </row>
    <row r="27" spans="1:8" ht="15.75">
      <c r="A27" s="66" t="s">
        <v>79</v>
      </c>
      <c r="B27" s="68" t="s">
        <v>80</v>
      </c>
      <c r="C27" s="119">
        <v>23760</v>
      </c>
      <c r="D27" s="119">
        <v>898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88889</v>
      </c>
      <c r="D28" s="332">
        <f>SUM(D24:D27)</f>
        <v>89582</v>
      </c>
      <c r="E28" s="124" t="s">
        <v>84</v>
      </c>
      <c r="F28" s="69" t="s">
        <v>85</v>
      </c>
      <c r="G28" s="329">
        <f>SUM(G29:G31)</f>
        <v>20023</v>
      </c>
      <c r="H28" s="330">
        <f>SUM(H29:H31)</f>
        <v>18139</v>
      </c>
      <c r="M28" s="74"/>
    </row>
    <row r="29" spans="1:8" ht="15.75">
      <c r="A29" s="66"/>
      <c r="B29" s="68"/>
      <c r="C29" s="329"/>
      <c r="D29" s="330"/>
      <c r="E29" s="66" t="s">
        <v>86</v>
      </c>
      <c r="F29" s="69" t="s">
        <v>87</v>
      </c>
      <c r="G29" s="119">
        <v>20023</v>
      </c>
      <c r="H29" s="119">
        <v>18139</v>
      </c>
    </row>
    <row r="30" spans="1:13" ht="15.7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22482</v>
      </c>
      <c r="D31" s="119">
        <v>22482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4259</v>
      </c>
      <c r="H32" s="119">
        <v>5653</v>
      </c>
      <c r="M32" s="74"/>
    </row>
    <row r="33" spans="1:8" ht="15.75">
      <c r="A33" s="247" t="s">
        <v>99</v>
      </c>
      <c r="B33" s="73" t="s">
        <v>100</v>
      </c>
      <c r="C33" s="331">
        <f>C31+C32</f>
        <v>22482</v>
      </c>
      <c r="D33" s="332">
        <f>D31+D32</f>
        <v>22482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24282</v>
      </c>
      <c r="H34" s="332">
        <f>H28+H32+H33</f>
        <v>23792</v>
      </c>
    </row>
    <row r="35" spans="1:8" ht="15.75">
      <c r="A35" s="66" t="s">
        <v>106</v>
      </c>
      <c r="B35" s="70" t="s">
        <v>107</v>
      </c>
      <c r="C35" s="329">
        <f>SUM(C36:C39)</f>
        <v>164</v>
      </c>
      <c r="D35" s="330">
        <f>SUM(D36:D39)</f>
        <v>164</v>
      </c>
      <c r="E35" s="66"/>
      <c r="F35" s="75"/>
      <c r="G35" s="349"/>
      <c r="H35" s="350"/>
    </row>
    <row r="36" spans="1:8" ht="15.75">
      <c r="A36" s="66" t="s">
        <v>108</v>
      </c>
      <c r="B36" s="68" t="s">
        <v>109</v>
      </c>
      <c r="C36" s="119">
        <v>7</v>
      </c>
      <c r="D36" s="119">
        <v>7</v>
      </c>
      <c r="E36" s="125"/>
      <c r="F36" s="77"/>
      <c r="G36" s="349"/>
      <c r="H36" s="350"/>
    </row>
    <row r="37" spans="1:8" ht="15.75">
      <c r="A37" s="66" t="s">
        <v>110</v>
      </c>
      <c r="B37" s="68" t="s">
        <v>111</v>
      </c>
      <c r="C37" s="119"/>
      <c r="D37" s="119"/>
      <c r="E37" s="248" t="s">
        <v>526</v>
      </c>
      <c r="F37" s="75" t="s">
        <v>112</v>
      </c>
      <c r="G37" s="333">
        <f>G26+G18+G34</f>
        <v>89725</v>
      </c>
      <c r="H37" s="334">
        <f>H26+H18+H34</f>
        <v>88300</v>
      </c>
    </row>
    <row r="38" spans="1:13" ht="15.75">
      <c r="A38" s="66" t="s">
        <v>113</v>
      </c>
      <c r="B38" s="68" t="s">
        <v>114</v>
      </c>
      <c r="C38" s="119">
        <v>157</v>
      </c>
      <c r="D38" s="119">
        <v>157</v>
      </c>
      <c r="E38" s="66"/>
      <c r="F38" s="75"/>
      <c r="G38" s="349"/>
      <c r="H38" s="350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1"/>
      <c r="H39" s="352"/>
    </row>
    <row r="40" spans="1:13" ht="15.75">
      <c r="A40" s="66" t="s">
        <v>117</v>
      </c>
      <c r="B40" s="68" t="s">
        <v>118</v>
      </c>
      <c r="C40" s="329">
        <f>C41+C42+C44</f>
        <v>0</v>
      </c>
      <c r="D40" s="330">
        <f>D41+D42+D44</f>
        <v>0</v>
      </c>
      <c r="E40" s="137" t="s">
        <v>119</v>
      </c>
      <c r="F40" s="134" t="s">
        <v>120</v>
      </c>
      <c r="G40" s="317">
        <v>15463</v>
      </c>
      <c r="H40" s="317">
        <v>15747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8402</v>
      </c>
      <c r="H45" s="119">
        <v>9486</v>
      </c>
    </row>
    <row r="46" spans="1:13" ht="15.75">
      <c r="A46" s="238" t="s">
        <v>137</v>
      </c>
      <c r="B46" s="72" t="s">
        <v>138</v>
      </c>
      <c r="C46" s="331">
        <f>C35+C40+C45</f>
        <v>164</v>
      </c>
      <c r="D46" s="332">
        <f>D35+D40+D45</f>
        <v>164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285</v>
      </c>
      <c r="H49" s="119">
        <v>211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29">
        <f>SUM(G44:G49)</f>
        <v>8687</v>
      </c>
      <c r="H50" s="330">
        <f>SUM(H44:H49)</f>
        <v>9697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0</v>
      </c>
      <c r="D52" s="332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456</v>
      </c>
      <c r="H54" s="119">
        <v>1084</v>
      </c>
    </row>
    <row r="55" spans="1:8" ht="15.75">
      <c r="A55" s="76" t="s">
        <v>166</v>
      </c>
      <c r="B55" s="72" t="s">
        <v>167</v>
      </c>
      <c r="C55" s="243">
        <v>307</v>
      </c>
      <c r="D55" s="243">
        <v>307</v>
      </c>
      <c r="E55" s="66" t="s">
        <v>168</v>
      </c>
      <c r="F55" s="71" t="s">
        <v>169</v>
      </c>
      <c r="G55" s="119"/>
      <c r="H55" s="119">
        <v>58</v>
      </c>
    </row>
    <row r="56" spans="1:13" ht="16.5" thickBot="1">
      <c r="A56" s="240" t="s">
        <v>170</v>
      </c>
      <c r="B56" s="130" t="s">
        <v>171</v>
      </c>
      <c r="C56" s="335">
        <f>C20+C21+C22+C28+C33+C46+C52+C54+C55</f>
        <v>117422</v>
      </c>
      <c r="D56" s="336">
        <f>D20+D21+D22+D28+D33+D46+D52+D54+D55</f>
        <v>117982</v>
      </c>
      <c r="E56" s="76" t="s">
        <v>529</v>
      </c>
      <c r="F56" s="75" t="s">
        <v>172</v>
      </c>
      <c r="G56" s="333">
        <f>G50+G52+G53+G54+G55</f>
        <v>9143</v>
      </c>
      <c r="H56" s="334">
        <f>H50+H52+H53+H54+H55</f>
        <v>10839</v>
      </c>
      <c r="M56" s="74"/>
    </row>
    <row r="57" spans="1:8" ht="15.7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.7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1.5">
      <c r="A59" s="66" t="s">
        <v>176</v>
      </c>
      <c r="B59" s="68" t="s">
        <v>177</v>
      </c>
      <c r="C59" s="119">
        <v>61</v>
      </c>
      <c r="D59" s="119">
        <v>68</v>
      </c>
      <c r="E59" s="123" t="s">
        <v>180</v>
      </c>
      <c r="F59" s="251" t="s">
        <v>181</v>
      </c>
      <c r="G59" s="119">
        <v>15396</v>
      </c>
      <c r="H59" s="119">
        <v>9107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1195</v>
      </c>
      <c r="D61" s="119">
        <v>534</v>
      </c>
      <c r="E61" s="122" t="s">
        <v>188</v>
      </c>
      <c r="F61" s="69" t="s">
        <v>189</v>
      </c>
      <c r="G61" s="329">
        <f>SUM(G62:G68)</f>
        <v>11325</v>
      </c>
      <c r="H61" s="330">
        <f>SUM(H62:H68)</f>
        <v>19938</v>
      </c>
    </row>
    <row r="62" spans="1:13" ht="15.75">
      <c r="A62" s="66" t="s">
        <v>186</v>
      </c>
      <c r="B62" s="70" t="s">
        <v>187</v>
      </c>
      <c r="C62" s="119"/>
      <c r="D62" s="119">
        <v>2543</v>
      </c>
      <c r="E62" s="122" t="s">
        <v>192</v>
      </c>
      <c r="F62" s="69" t="s">
        <v>193</v>
      </c>
      <c r="G62" s="119">
        <v>362</v>
      </c>
      <c r="H62" s="119">
        <v>292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>
        <v>6</v>
      </c>
      <c r="E64" s="66" t="s">
        <v>199</v>
      </c>
      <c r="F64" s="69" t="s">
        <v>200</v>
      </c>
      <c r="G64" s="119">
        <v>5809</v>
      </c>
      <c r="H64" s="119">
        <v>8781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1256</v>
      </c>
      <c r="D65" s="332">
        <f>SUM(D59:D64)</f>
        <v>3151</v>
      </c>
      <c r="E65" s="66" t="s">
        <v>201</v>
      </c>
      <c r="F65" s="69" t="s">
        <v>202</v>
      </c>
      <c r="G65" s="119">
        <v>2831</v>
      </c>
      <c r="H65" s="119">
        <v>8054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v>1338</v>
      </c>
      <c r="H66" s="119">
        <v>1070</v>
      </c>
    </row>
    <row r="67" spans="1:8" ht="15.7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339</v>
      </c>
      <c r="H67" s="119">
        <v>469</v>
      </c>
    </row>
    <row r="68" spans="1:8" ht="15.75">
      <c r="A68" s="66" t="s">
        <v>206</v>
      </c>
      <c r="B68" s="68" t="s">
        <v>207</v>
      </c>
      <c r="C68" s="119">
        <v>616</v>
      </c>
      <c r="D68" s="119">
        <v>1386</v>
      </c>
      <c r="E68" s="66" t="s">
        <v>212</v>
      </c>
      <c r="F68" s="69" t="s">
        <v>213</v>
      </c>
      <c r="G68" s="119">
        <v>646</v>
      </c>
      <c r="H68" s="119">
        <v>1272</v>
      </c>
    </row>
    <row r="69" spans="1:8" ht="15.75">
      <c r="A69" s="66" t="s">
        <v>210</v>
      </c>
      <c r="B69" s="68" t="s">
        <v>211</v>
      </c>
      <c r="C69" s="119">
        <v>11607</v>
      </c>
      <c r="D69" s="119">
        <v>10233</v>
      </c>
      <c r="E69" s="123" t="s">
        <v>79</v>
      </c>
      <c r="F69" s="69" t="s">
        <v>216</v>
      </c>
      <c r="G69" s="119">
        <v>878</v>
      </c>
      <c r="H69" s="119">
        <v>931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>
        <v>1728</v>
      </c>
      <c r="H70" s="119">
        <v>794</v>
      </c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1">
        <f>G59+G60+G61+G69+G70</f>
        <v>29327</v>
      </c>
      <c r="H71" s="332">
        <f>H59+H60+H61+H69+H70</f>
        <v>30770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v>473</v>
      </c>
      <c r="D73" s="119">
        <v>392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>
        <v>1614</v>
      </c>
      <c r="D75" s="119">
        <v>1055</v>
      </c>
      <c r="E75" s="250" t="s">
        <v>160</v>
      </c>
      <c r="F75" s="71" t="s">
        <v>233</v>
      </c>
      <c r="G75" s="243">
        <v>522</v>
      </c>
      <c r="H75" s="243">
        <v>71</v>
      </c>
    </row>
    <row r="76" spans="1:8" ht="15.75">
      <c r="A76" s="247" t="s">
        <v>77</v>
      </c>
      <c r="B76" s="72" t="s">
        <v>232</v>
      </c>
      <c r="C76" s="331">
        <f>SUM(C68:C75)</f>
        <v>14310</v>
      </c>
      <c r="D76" s="332">
        <f>SUM(D68:D75)</f>
        <v>13066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.75">
      <c r="A79" s="66" t="s">
        <v>237</v>
      </c>
      <c r="B79" s="68" t="s">
        <v>238</v>
      </c>
      <c r="C79" s="329">
        <f>SUM(C80:C82)</f>
        <v>0</v>
      </c>
      <c r="D79" s="330">
        <f>SUM(D80:D82)</f>
        <v>0</v>
      </c>
      <c r="E79" s="127" t="s">
        <v>528</v>
      </c>
      <c r="F79" s="75" t="s">
        <v>241</v>
      </c>
      <c r="G79" s="333">
        <f>G71+G73+G75+G77</f>
        <v>29849</v>
      </c>
      <c r="H79" s="334">
        <f>H71+H73+H75+H77</f>
        <v>30841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6"/>
      <c r="H81" s="357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6"/>
      <c r="H82" s="357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0</v>
      </c>
      <c r="D85" s="332">
        <f>D84+D83+D79</f>
        <v>0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.7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.75">
      <c r="A88" s="66" t="s">
        <v>252</v>
      </c>
      <c r="B88" s="68" t="s">
        <v>253</v>
      </c>
      <c r="C88" s="119">
        <v>72</v>
      </c>
      <c r="D88" s="119">
        <v>79</v>
      </c>
      <c r="E88" s="129"/>
      <c r="F88" s="79"/>
      <c r="G88" s="356"/>
      <c r="H88" s="357"/>
      <c r="M88" s="74"/>
    </row>
    <row r="89" spans="1:8" ht="15.75">
      <c r="A89" s="66" t="s">
        <v>254</v>
      </c>
      <c r="B89" s="68" t="s">
        <v>255</v>
      </c>
      <c r="C89" s="119">
        <v>9584</v>
      </c>
      <c r="D89" s="119">
        <v>5632</v>
      </c>
      <c r="E89" s="126"/>
      <c r="F89" s="79"/>
      <c r="G89" s="356"/>
      <c r="H89" s="357"/>
    </row>
    <row r="90" spans="1:13" ht="15.75">
      <c r="A90" s="66" t="s">
        <v>256</v>
      </c>
      <c r="B90" s="68" t="s">
        <v>257</v>
      </c>
      <c r="C90" s="119">
        <v>675</v>
      </c>
      <c r="D90" s="119">
        <v>4058</v>
      </c>
      <c r="E90" s="126"/>
      <c r="F90" s="79"/>
      <c r="G90" s="356"/>
      <c r="H90" s="357"/>
      <c r="M90" s="74"/>
    </row>
    <row r="91" spans="1:8" ht="15.75">
      <c r="A91" s="66" t="s">
        <v>258</v>
      </c>
      <c r="B91" s="68" t="s">
        <v>259</v>
      </c>
      <c r="C91" s="119">
        <v>198</v>
      </c>
      <c r="D91" s="119">
        <v>1299</v>
      </c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10529</v>
      </c>
      <c r="D92" s="332">
        <f>SUM(D88:D91)</f>
        <v>11068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663</v>
      </c>
      <c r="D93" s="243">
        <v>460</v>
      </c>
      <c r="E93" s="126"/>
      <c r="F93" s="79"/>
      <c r="G93" s="356"/>
      <c r="H93" s="357"/>
    </row>
    <row r="94" spans="1:13" ht="16.5" thickBot="1">
      <c r="A94" s="255" t="s">
        <v>263</v>
      </c>
      <c r="B94" s="147" t="s">
        <v>264</v>
      </c>
      <c r="C94" s="335">
        <f>C65+C76+C85+C92+C93</f>
        <v>26758</v>
      </c>
      <c r="D94" s="336">
        <f>D65+D76+D85+D92+D93</f>
        <v>27745</v>
      </c>
      <c r="E94" s="148"/>
      <c r="F94" s="149"/>
      <c r="G94" s="358"/>
      <c r="H94" s="359"/>
      <c r="M94" s="74"/>
    </row>
    <row r="95" spans="1:8" ht="32.25" thickBot="1">
      <c r="A95" s="252" t="s">
        <v>265</v>
      </c>
      <c r="B95" s="253" t="s">
        <v>266</v>
      </c>
      <c r="C95" s="337">
        <f>C94+C56</f>
        <v>144180</v>
      </c>
      <c r="D95" s="338">
        <f>D94+D56</f>
        <v>145727</v>
      </c>
      <c r="E95" s="150" t="s">
        <v>607</v>
      </c>
      <c r="F95" s="254" t="s">
        <v>268</v>
      </c>
      <c r="G95" s="337">
        <f>G37+G40+G56+G79</f>
        <v>144180</v>
      </c>
      <c r="H95" s="338">
        <f>H37+H40+H56+H79</f>
        <v>145727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2" t="s">
        <v>640</v>
      </c>
      <c r="B98" s="433" t="str">
        <f>pdeReportingDate</f>
        <v>29.02.2019</v>
      </c>
      <c r="C98" s="433"/>
      <c r="D98" s="433"/>
      <c r="E98" s="433"/>
      <c r="F98" s="433"/>
      <c r="G98" s="433"/>
      <c r="H98" s="433"/>
      <c r="M98" s="74"/>
    </row>
    <row r="99" spans="1:13" ht="15.75">
      <c r="A99" s="422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3" t="s">
        <v>8</v>
      </c>
      <c r="B100" s="434" t="str">
        <f>authorName</f>
        <v>Николай Яцино</v>
      </c>
      <c r="C100" s="434"/>
      <c r="D100" s="434"/>
      <c r="E100" s="434"/>
      <c r="F100" s="434"/>
      <c r="G100" s="434"/>
      <c r="H100" s="434"/>
    </row>
    <row r="101" spans="1:8" ht="15.75">
      <c r="A101" s="423"/>
      <c r="B101" s="57"/>
      <c r="C101" s="57"/>
      <c r="D101" s="57"/>
      <c r="E101" s="57"/>
      <c r="F101" s="57"/>
      <c r="G101" s="57"/>
      <c r="H101" s="57"/>
    </row>
    <row r="102" spans="1:8" ht="15.75">
      <c r="A102" s="423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4"/>
      <c r="B103" s="432" t="s">
        <v>642</v>
      </c>
      <c r="C103" s="432"/>
      <c r="D103" s="432"/>
      <c r="E103" s="432"/>
      <c r="M103" s="74"/>
    </row>
    <row r="104" spans="1:5" ht="21.75" customHeight="1">
      <c r="A104" s="424"/>
      <c r="B104" s="432" t="s">
        <v>642</v>
      </c>
      <c r="C104" s="432"/>
      <c r="D104" s="432"/>
      <c r="E104" s="432"/>
    </row>
    <row r="105" spans="1:13" ht="21.75" customHeight="1">
      <c r="A105" s="424"/>
      <c r="B105" s="432" t="s">
        <v>642</v>
      </c>
      <c r="C105" s="432"/>
      <c r="D105" s="432"/>
      <c r="E105" s="432"/>
      <c r="M105" s="74"/>
    </row>
    <row r="106" spans="1:5" ht="21.75" customHeight="1">
      <c r="A106" s="424"/>
      <c r="B106" s="432" t="s">
        <v>642</v>
      </c>
      <c r="C106" s="432"/>
      <c r="D106" s="432"/>
      <c r="E106" s="432"/>
    </row>
    <row r="107" spans="1:13" ht="21.75" customHeight="1">
      <c r="A107" s="424"/>
      <c r="B107" s="432"/>
      <c r="C107" s="432"/>
      <c r="D107" s="432"/>
      <c r="E107" s="432"/>
      <c r="M107" s="74"/>
    </row>
    <row r="108" spans="1:5" ht="21.75" customHeight="1">
      <c r="A108" s="424"/>
      <c r="B108" s="432"/>
      <c r="C108" s="432"/>
      <c r="D108" s="432"/>
      <c r="E108" s="432"/>
    </row>
    <row r="109" spans="1:13" ht="21.75" customHeight="1">
      <c r="A109" s="424"/>
      <c r="B109" s="432"/>
      <c r="C109" s="432"/>
      <c r="D109" s="432"/>
      <c r="E109" s="432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45" sqref="G12:H45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3944</v>
      </c>
      <c r="D12" s="234">
        <v>1672</v>
      </c>
      <c r="E12" s="116" t="s">
        <v>277</v>
      </c>
      <c r="F12" s="161" t="s">
        <v>278</v>
      </c>
      <c r="G12" s="234"/>
      <c r="H12" s="234"/>
    </row>
    <row r="13" spans="1:8" ht="15.75">
      <c r="A13" s="116" t="s">
        <v>279</v>
      </c>
      <c r="B13" s="112" t="s">
        <v>280</v>
      </c>
      <c r="C13" s="234">
        <v>7250</v>
      </c>
      <c r="D13" s="234">
        <v>12848</v>
      </c>
      <c r="E13" s="116" t="s">
        <v>281</v>
      </c>
      <c r="F13" s="161" t="s">
        <v>282</v>
      </c>
      <c r="G13" s="234">
        <v>19463</v>
      </c>
      <c r="H13" s="234">
        <v>21466</v>
      </c>
    </row>
    <row r="14" spans="1:8" ht="15.75">
      <c r="A14" s="116" t="s">
        <v>283</v>
      </c>
      <c r="B14" s="112" t="s">
        <v>284</v>
      </c>
      <c r="C14" s="234">
        <v>4962</v>
      </c>
      <c r="D14" s="234">
        <v>4112</v>
      </c>
      <c r="E14" s="166" t="s">
        <v>285</v>
      </c>
      <c r="F14" s="161" t="s">
        <v>286</v>
      </c>
      <c r="G14" s="234">
        <v>39442</v>
      </c>
      <c r="H14" s="234">
        <v>36999</v>
      </c>
    </row>
    <row r="15" spans="1:8" ht="15.75">
      <c r="A15" s="116" t="s">
        <v>287</v>
      </c>
      <c r="B15" s="112" t="s">
        <v>288</v>
      </c>
      <c r="C15" s="234">
        <v>20111</v>
      </c>
      <c r="D15" s="234">
        <v>18536</v>
      </c>
      <c r="E15" s="166" t="s">
        <v>79</v>
      </c>
      <c r="F15" s="161" t="s">
        <v>289</v>
      </c>
      <c r="G15" s="234">
        <v>532</v>
      </c>
      <c r="H15" s="234">
        <v>2345</v>
      </c>
    </row>
    <row r="16" spans="1:8" ht="15.75">
      <c r="A16" s="116" t="s">
        <v>290</v>
      </c>
      <c r="B16" s="112" t="s">
        <v>291</v>
      </c>
      <c r="C16" s="234">
        <v>2442</v>
      </c>
      <c r="D16" s="234">
        <v>1997</v>
      </c>
      <c r="E16" s="157" t="s">
        <v>52</v>
      </c>
      <c r="F16" s="185" t="s">
        <v>292</v>
      </c>
      <c r="G16" s="362">
        <f>SUM(G12:G15)</f>
        <v>59437</v>
      </c>
      <c r="H16" s="363">
        <f>SUM(H12:H15)</f>
        <v>60810</v>
      </c>
    </row>
    <row r="17" spans="1:8" ht="31.5">
      <c r="A17" s="116" t="s">
        <v>293</v>
      </c>
      <c r="B17" s="112" t="s">
        <v>294</v>
      </c>
      <c r="C17" s="234">
        <v>17371</v>
      </c>
      <c r="D17" s="234">
        <v>19464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1241</v>
      </c>
      <c r="D18" s="234">
        <v>-962</v>
      </c>
      <c r="E18" s="155" t="s">
        <v>297</v>
      </c>
      <c r="F18" s="159" t="s">
        <v>298</v>
      </c>
      <c r="G18" s="373">
        <v>2017</v>
      </c>
      <c r="H18" s="373">
        <v>290</v>
      </c>
    </row>
    <row r="19" spans="1:8" ht="15.75">
      <c r="A19" s="116" t="s">
        <v>299</v>
      </c>
      <c r="B19" s="112" t="s">
        <v>300</v>
      </c>
      <c r="C19" s="234">
        <v>-1174</v>
      </c>
      <c r="D19" s="234">
        <v>-6081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56147</v>
      </c>
      <c r="D22" s="363">
        <f>SUM(D12:D18)+D19</f>
        <v>51586</v>
      </c>
      <c r="E22" s="116" t="s">
        <v>309</v>
      </c>
      <c r="F22" s="158" t="s">
        <v>310</v>
      </c>
      <c r="G22" s="234">
        <v>49</v>
      </c>
      <c r="H22" s="234">
        <v>85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4"/>
    </row>
    <row r="25" spans="1:8" ht="31.5">
      <c r="A25" s="116" t="s">
        <v>316</v>
      </c>
      <c r="B25" s="158" t="s">
        <v>317</v>
      </c>
      <c r="C25" s="234">
        <v>291</v>
      </c>
      <c r="D25" s="234">
        <v>345</v>
      </c>
      <c r="E25" s="116" t="s">
        <v>318</v>
      </c>
      <c r="F25" s="158" t="s">
        <v>319</v>
      </c>
      <c r="G25" s="234">
        <v>184</v>
      </c>
      <c r="H25" s="234">
        <v>740</v>
      </c>
    </row>
    <row r="26" spans="1:8" ht="31.5">
      <c r="A26" s="116" t="s">
        <v>320</v>
      </c>
      <c r="B26" s="158" t="s">
        <v>321</v>
      </c>
      <c r="C26" s="234"/>
      <c r="D26" s="234">
        <v>64</v>
      </c>
      <c r="E26" s="116" t="s">
        <v>322</v>
      </c>
      <c r="F26" s="158" t="s">
        <v>323</v>
      </c>
      <c r="G26" s="234"/>
      <c r="H26" s="234"/>
    </row>
    <row r="27" spans="1:8" ht="31.5">
      <c r="A27" s="116" t="s">
        <v>324</v>
      </c>
      <c r="B27" s="158" t="s">
        <v>325</v>
      </c>
      <c r="C27" s="234">
        <v>207</v>
      </c>
      <c r="D27" s="234">
        <v>776</v>
      </c>
      <c r="E27" s="157" t="s">
        <v>104</v>
      </c>
      <c r="F27" s="159" t="s">
        <v>326</v>
      </c>
      <c r="G27" s="362">
        <f>SUM(G22:G26)</f>
        <v>233</v>
      </c>
      <c r="H27" s="363">
        <f>SUM(H22:H26)</f>
        <v>825</v>
      </c>
    </row>
    <row r="28" spans="1:8" ht="15.75">
      <c r="A28" s="116" t="s">
        <v>79</v>
      </c>
      <c r="B28" s="158" t="s">
        <v>327</v>
      </c>
      <c r="C28" s="234">
        <v>202</v>
      </c>
      <c r="D28" s="234">
        <v>128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700</v>
      </c>
      <c r="D29" s="363">
        <f>SUM(D25:D28)</f>
        <v>1313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8">
        <f>C29+C22</f>
        <v>56847</v>
      </c>
      <c r="D31" s="369">
        <f>D29+D22</f>
        <v>52899</v>
      </c>
      <c r="E31" s="172" t="s">
        <v>521</v>
      </c>
      <c r="F31" s="187" t="s">
        <v>331</v>
      </c>
      <c r="G31" s="174">
        <f>G16+G18+G27</f>
        <v>61687</v>
      </c>
      <c r="H31" s="175">
        <f>H16+H18+H27</f>
        <v>61925</v>
      </c>
    </row>
    <row r="32" spans="1:8" ht="15.7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4840</v>
      </c>
      <c r="D33" s="165">
        <f>IF((H31-D31)&gt;0,H31-D31,0)</f>
        <v>9026</v>
      </c>
      <c r="E33" s="154" t="s">
        <v>334</v>
      </c>
      <c r="F33" s="159" t="s">
        <v>335</v>
      </c>
      <c r="G33" s="362">
        <f>IF((C31-G31)&gt;0,C31-G31,0)</f>
        <v>0</v>
      </c>
      <c r="H33" s="363">
        <f>IF((D31-H31)&gt;0,D31-H31,0)</f>
        <v>0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56847</v>
      </c>
      <c r="D36" s="371">
        <f>D31-D34+D35</f>
        <v>52899</v>
      </c>
      <c r="E36" s="183" t="s">
        <v>346</v>
      </c>
      <c r="F36" s="177" t="s">
        <v>347</v>
      </c>
      <c r="G36" s="188">
        <f>G35-G34+G31</f>
        <v>61687</v>
      </c>
      <c r="H36" s="189">
        <f>H35-H34+H31</f>
        <v>61925</v>
      </c>
    </row>
    <row r="37" spans="1:8" ht="15.75">
      <c r="A37" s="182" t="s">
        <v>348</v>
      </c>
      <c r="B37" s="152" t="s">
        <v>349</v>
      </c>
      <c r="C37" s="368">
        <f>IF((G36-C36)&gt;0,G36-C36,0)</f>
        <v>4840</v>
      </c>
      <c r="D37" s="369">
        <f>IF((H36-D36)&gt;0,H36-D36,0)</f>
        <v>9026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2">
        <f>C39+C40+C41</f>
        <v>581</v>
      </c>
      <c r="D38" s="363">
        <f>D39+D40+D41</f>
        <v>675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>
        <v>495</v>
      </c>
      <c r="D39" s="234">
        <v>911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>
        <v>86</v>
      </c>
      <c r="D40" s="234">
        <v>-236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4259</v>
      </c>
      <c r="D42" s="165">
        <f>+IF((H36-D36-D38)&gt;0,H36-D36-D38,0)</f>
        <v>8351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4">
        <v>363</v>
      </c>
      <c r="D43" s="234">
        <v>1421</v>
      </c>
      <c r="E43" s="154" t="s">
        <v>364</v>
      </c>
      <c r="F43" s="117" t="s">
        <v>366</v>
      </c>
      <c r="G43" s="319"/>
      <c r="H43" s="372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3896</v>
      </c>
      <c r="D44" s="189">
        <f>IF(H42=0,IF(D42-D43&gt;0,D42-D43+H43,0),IF(H42-H43&lt;0,H43-H42+D42,0))</f>
        <v>6930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4">
        <f>C36+C38+C42</f>
        <v>61687</v>
      </c>
      <c r="D45" s="365">
        <f>D36+D38+D42</f>
        <v>61925</v>
      </c>
      <c r="E45" s="191" t="s">
        <v>373</v>
      </c>
      <c r="F45" s="193" t="s">
        <v>374</v>
      </c>
      <c r="G45" s="364">
        <f>G42+G36</f>
        <v>61687</v>
      </c>
      <c r="H45" s="365">
        <f>H42+H36</f>
        <v>61925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6" t="s">
        <v>641</v>
      </c>
      <c r="B47" s="436"/>
      <c r="C47" s="436"/>
      <c r="D47" s="436"/>
      <c r="E47" s="436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2" t="s">
        <v>640</v>
      </c>
      <c r="B50" s="433" t="str">
        <f>pdeReportingDate</f>
        <v>29.02.2019</v>
      </c>
      <c r="C50" s="433"/>
      <c r="D50" s="433"/>
      <c r="E50" s="433"/>
      <c r="F50" s="433"/>
      <c r="G50" s="433"/>
      <c r="H50" s="433"/>
      <c r="M50" s="74"/>
    </row>
    <row r="51" spans="1:13" s="35" customFormat="1" ht="15.75">
      <c r="A51" s="422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3" t="s">
        <v>8</v>
      </c>
      <c r="B52" s="434" t="str">
        <f>authorName</f>
        <v>Николай Яцино</v>
      </c>
      <c r="C52" s="434"/>
      <c r="D52" s="434"/>
      <c r="E52" s="434"/>
      <c r="F52" s="434"/>
      <c r="G52" s="434"/>
      <c r="H52" s="434"/>
    </row>
    <row r="53" spans="1:8" s="35" customFormat="1" ht="15.75">
      <c r="A53" s="423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3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4"/>
      <c r="B55" s="432" t="s">
        <v>642</v>
      </c>
      <c r="C55" s="432"/>
      <c r="D55" s="432"/>
      <c r="E55" s="432"/>
      <c r="F55" s="309"/>
      <c r="G55" s="37"/>
      <c r="H55" s="35"/>
    </row>
    <row r="56" spans="1:8" ht="15.75" customHeight="1">
      <c r="A56" s="424"/>
      <c r="B56" s="432" t="s">
        <v>642</v>
      </c>
      <c r="C56" s="432"/>
      <c r="D56" s="432"/>
      <c r="E56" s="432"/>
      <c r="F56" s="309"/>
      <c r="G56" s="37"/>
      <c r="H56" s="35"/>
    </row>
    <row r="57" spans="1:8" ht="15.75" customHeight="1">
      <c r="A57" s="424"/>
      <c r="B57" s="432" t="s">
        <v>642</v>
      </c>
      <c r="C57" s="432"/>
      <c r="D57" s="432"/>
      <c r="E57" s="432"/>
      <c r="F57" s="309"/>
      <c r="G57" s="37"/>
      <c r="H57" s="35"/>
    </row>
    <row r="58" spans="1:8" ht="15.75" customHeight="1">
      <c r="A58" s="424"/>
      <c r="B58" s="432" t="s">
        <v>642</v>
      </c>
      <c r="C58" s="432"/>
      <c r="D58" s="432"/>
      <c r="E58" s="432"/>
      <c r="F58" s="309"/>
      <c r="G58" s="37"/>
      <c r="H58" s="35"/>
    </row>
    <row r="59" spans="1:8" ht="15.75">
      <c r="A59" s="424"/>
      <c r="B59" s="432"/>
      <c r="C59" s="432"/>
      <c r="D59" s="432"/>
      <c r="E59" s="432"/>
      <c r="F59" s="309"/>
      <c r="G59" s="37"/>
      <c r="H59" s="35"/>
    </row>
    <row r="60" spans="1:8" ht="15.75">
      <c r="A60" s="424"/>
      <c r="B60" s="432"/>
      <c r="C60" s="432"/>
      <c r="D60" s="432"/>
      <c r="E60" s="432"/>
      <c r="F60" s="309"/>
      <c r="G60" s="37"/>
      <c r="H60" s="35"/>
    </row>
    <row r="61" spans="1:8" ht="15.75">
      <c r="A61" s="424"/>
      <c r="B61" s="432"/>
      <c r="C61" s="432"/>
      <c r="D61" s="432"/>
      <c r="E61" s="432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B23">
      <selection activeCell="F18" sqref="F1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31.12.2019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60906</v>
      </c>
      <c r="D11" s="119">
        <v>69447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-33057</v>
      </c>
      <c r="D12" s="119">
        <v>-41658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-19325</v>
      </c>
      <c r="D14" s="119">
        <v>-16939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-1226</v>
      </c>
      <c r="D16" s="119">
        <v>-651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-195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38</v>
      </c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-697</v>
      </c>
      <c r="D20" s="119">
        <v>-1163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1">
        <f>SUM(C11:C20)</f>
        <v>6639</v>
      </c>
      <c r="D21" s="392">
        <f>SUM(D11:D20)</f>
        <v>8841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-4147</v>
      </c>
      <c r="D23" s="119">
        <v>-6931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26</v>
      </c>
      <c r="D25" s="119">
        <v>391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-2346</v>
      </c>
      <c r="D26" s="119">
        <v>-134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-160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-1956</v>
      </c>
      <c r="D28" s="119">
        <v>-3960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>
        <v>-11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1">
        <f>SUM(C23:C32)</f>
        <v>-8583</v>
      </c>
      <c r="D33" s="392">
        <f>SUM(D23:D32)</f>
        <v>-10645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9"/>
      <c r="D34" s="390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>
        <v>-206</v>
      </c>
      <c r="D36" s="119">
        <v>-772</v>
      </c>
      <c r="E36" s="99"/>
      <c r="F36" s="99"/>
    </row>
    <row r="37" spans="1:6" ht="15.75">
      <c r="A37" s="198" t="s">
        <v>427</v>
      </c>
      <c r="B37" s="100" t="s">
        <v>428</v>
      </c>
      <c r="C37" s="119">
        <v>22020</v>
      </c>
      <c r="D37" s="119">
        <v>9780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-16951</v>
      </c>
      <c r="D38" s="119">
        <v>-1998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-159</v>
      </c>
      <c r="D39" s="119">
        <v>-92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-162</v>
      </c>
      <c r="D40" s="119">
        <v>-1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-3137</v>
      </c>
      <c r="D42" s="119">
        <v>-56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3">
        <f>SUM(C35:C42)</f>
        <v>1405</v>
      </c>
      <c r="D43" s="394">
        <f>SUM(D35:D42)</f>
        <v>6861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-539</v>
      </c>
      <c r="D44" s="226">
        <f>D43+D33+D21</f>
        <v>5057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11068</v>
      </c>
      <c r="D45" s="227">
        <v>6119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10529</v>
      </c>
      <c r="D46" s="229">
        <f>D45+D44</f>
        <v>11176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9655</v>
      </c>
      <c r="D47" s="217">
        <v>5818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874</v>
      </c>
      <c r="D48" s="201">
        <v>5358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0" t="s">
        <v>631</v>
      </c>
      <c r="G50" s="102"/>
      <c r="H50" s="102"/>
    </row>
    <row r="51" spans="1:8" ht="15.75">
      <c r="A51" s="437" t="s">
        <v>637</v>
      </c>
      <c r="B51" s="437"/>
      <c r="C51" s="437"/>
      <c r="D51" s="437"/>
      <c r="G51" s="102"/>
      <c r="H51" s="102"/>
    </row>
    <row r="52" spans="1:8" ht="15.75">
      <c r="A52" s="421"/>
      <c r="B52" s="421"/>
      <c r="C52" s="421"/>
      <c r="D52" s="421"/>
      <c r="G52" s="102"/>
      <c r="H52" s="102"/>
    </row>
    <row r="53" spans="1:8" ht="15.75">
      <c r="A53" s="421"/>
      <c r="B53" s="421"/>
      <c r="C53" s="421"/>
      <c r="D53" s="421"/>
      <c r="G53" s="102"/>
      <c r="H53" s="102"/>
    </row>
    <row r="54" spans="1:13" s="35" customFormat="1" ht="15.75">
      <c r="A54" s="422" t="s">
        <v>640</v>
      </c>
      <c r="B54" s="433" t="str">
        <f>pdeReportingDate</f>
        <v>29.02.2019</v>
      </c>
      <c r="C54" s="433"/>
      <c r="D54" s="433"/>
      <c r="E54" s="433"/>
      <c r="F54" s="425"/>
      <c r="G54" s="425"/>
      <c r="H54" s="425"/>
      <c r="M54" s="74"/>
    </row>
    <row r="55" spans="1:13" s="35" customFormat="1" ht="15.75">
      <c r="A55" s="422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.75">
      <c r="A56" s="423" t="s">
        <v>8</v>
      </c>
      <c r="B56" s="434" t="str">
        <f>authorName</f>
        <v>Николай Яцино</v>
      </c>
      <c r="C56" s="434"/>
      <c r="D56" s="434"/>
      <c r="E56" s="434"/>
      <c r="F56" s="57"/>
      <c r="G56" s="57"/>
      <c r="H56" s="57"/>
    </row>
    <row r="57" spans="1:8" s="35" customFormat="1" ht="15.75">
      <c r="A57" s="423"/>
      <c r="B57" s="434"/>
      <c r="C57" s="434"/>
      <c r="D57" s="434"/>
      <c r="E57" s="434"/>
      <c r="F57" s="57"/>
      <c r="G57" s="57"/>
      <c r="H57" s="57"/>
    </row>
    <row r="58" spans="1:8" s="35" customFormat="1" ht="15.75">
      <c r="A58" s="423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.75">
      <c r="A59" s="424"/>
      <c r="B59" s="432" t="s">
        <v>642</v>
      </c>
      <c r="C59" s="432"/>
      <c r="D59" s="432"/>
      <c r="E59" s="432"/>
      <c r="F59" s="309"/>
      <c r="G59" s="37"/>
      <c r="H59" s="35"/>
    </row>
    <row r="60" spans="1:8" ht="15.75">
      <c r="A60" s="424"/>
      <c r="B60" s="432" t="s">
        <v>642</v>
      </c>
      <c r="C60" s="432"/>
      <c r="D60" s="432"/>
      <c r="E60" s="432"/>
      <c r="F60" s="309"/>
      <c r="G60" s="37"/>
      <c r="H60" s="35"/>
    </row>
    <row r="61" spans="1:8" ht="15.75">
      <c r="A61" s="424"/>
      <c r="B61" s="432" t="s">
        <v>642</v>
      </c>
      <c r="C61" s="432"/>
      <c r="D61" s="432"/>
      <c r="E61" s="432"/>
      <c r="F61" s="309"/>
      <c r="G61" s="37"/>
      <c r="H61" s="35"/>
    </row>
    <row r="62" spans="1:8" ht="15.75">
      <c r="A62" s="424"/>
      <c r="B62" s="432" t="s">
        <v>642</v>
      </c>
      <c r="C62" s="432"/>
      <c r="D62" s="432"/>
      <c r="E62" s="432"/>
      <c r="F62" s="309"/>
      <c r="G62" s="37"/>
      <c r="H62" s="35"/>
    </row>
    <row r="63" spans="1:8" ht="15.75">
      <c r="A63" s="424"/>
      <c r="B63" s="432"/>
      <c r="C63" s="432"/>
      <c r="D63" s="432"/>
      <c r="E63" s="432"/>
      <c r="F63" s="309"/>
      <c r="G63" s="37"/>
      <c r="H63" s="35"/>
    </row>
    <row r="64" spans="1:8" ht="15.75">
      <c r="A64" s="424"/>
      <c r="B64" s="432"/>
      <c r="C64" s="432"/>
      <c r="D64" s="432"/>
      <c r="E64" s="432"/>
      <c r="F64" s="309"/>
      <c r="G64" s="37"/>
      <c r="H64" s="35"/>
    </row>
    <row r="65" spans="1:8" ht="15.75">
      <c r="A65" s="424"/>
      <c r="B65" s="432"/>
      <c r="C65" s="432"/>
      <c r="D65" s="432"/>
      <c r="E65" s="432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9">
      <selection activeCell="M34" sqref="C13:M34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31.12.2019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2" t="s">
        <v>453</v>
      </c>
      <c r="B8" s="445" t="s">
        <v>454</v>
      </c>
      <c r="C8" s="438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8" t="s">
        <v>460</v>
      </c>
      <c r="L8" s="438" t="s">
        <v>461</v>
      </c>
      <c r="M8" s="266"/>
      <c r="N8" s="267"/>
    </row>
    <row r="9" spans="1:14" s="268" customFormat="1" ht="31.5">
      <c r="A9" s="443"/>
      <c r="B9" s="446"/>
      <c r="C9" s="439"/>
      <c r="D9" s="441" t="s">
        <v>523</v>
      </c>
      <c r="E9" s="441" t="s">
        <v>456</v>
      </c>
      <c r="F9" s="270" t="s">
        <v>457</v>
      </c>
      <c r="G9" s="270"/>
      <c r="H9" s="270"/>
      <c r="I9" s="448" t="s">
        <v>458</v>
      </c>
      <c r="J9" s="448" t="s">
        <v>459</v>
      </c>
      <c r="K9" s="439"/>
      <c r="L9" s="439"/>
      <c r="M9" s="271" t="s">
        <v>522</v>
      </c>
      <c r="N9" s="267"/>
    </row>
    <row r="10" spans="1:14" s="268" customFormat="1" ht="31.5">
      <c r="A10" s="444"/>
      <c r="B10" s="447"/>
      <c r="C10" s="440"/>
      <c r="D10" s="441"/>
      <c r="E10" s="441"/>
      <c r="F10" s="269" t="s">
        <v>462</v>
      </c>
      <c r="G10" s="269" t="s">
        <v>463</v>
      </c>
      <c r="H10" s="269" t="s">
        <v>464</v>
      </c>
      <c r="I10" s="440"/>
      <c r="J10" s="440"/>
      <c r="K10" s="440"/>
      <c r="L10" s="440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8">
        <f>'1-Баланс'!H18</f>
        <v>58886</v>
      </c>
      <c r="D13" s="318">
        <f>'1-Баланс'!H20</f>
        <v>2326</v>
      </c>
      <c r="E13" s="318">
        <f>'1-Баланс'!H21</f>
        <v>0</v>
      </c>
      <c r="F13" s="318">
        <f>'1-Баланс'!H23</f>
        <v>3461</v>
      </c>
      <c r="G13" s="318">
        <f>'1-Баланс'!H24</f>
        <v>0</v>
      </c>
      <c r="H13" s="319">
        <v>-165</v>
      </c>
      <c r="I13" s="318">
        <f>'1-Баланс'!H29+'1-Баланс'!H32</f>
        <v>23792</v>
      </c>
      <c r="J13" s="318">
        <f>'1-Баланс'!H30+'1-Баланс'!H33</f>
        <v>0</v>
      </c>
      <c r="K13" s="319"/>
      <c r="L13" s="318">
        <f>SUM(C13:K13)</f>
        <v>88300</v>
      </c>
      <c r="M13" s="320">
        <f>'1-Баланс'!H40</f>
        <v>15747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-3769</v>
      </c>
      <c r="J14" s="90">
        <f t="shared" si="0"/>
        <v>0</v>
      </c>
      <c r="K14" s="90">
        <f t="shared" si="0"/>
        <v>0</v>
      </c>
      <c r="L14" s="383">
        <f aca="true" t="shared" si="1" ref="L14:L34">SUM(C14:K14)</f>
        <v>-3769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>
        <v>-3769</v>
      </c>
      <c r="J15" s="234"/>
      <c r="K15" s="234"/>
      <c r="L15" s="318">
        <f t="shared" si="1"/>
        <v>-3769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6">
        <f>C13+C14</f>
        <v>58886</v>
      </c>
      <c r="D17" s="386">
        <f aca="true" t="shared" si="2" ref="D17:M17">D13+D14</f>
        <v>2326</v>
      </c>
      <c r="E17" s="386">
        <f t="shared" si="2"/>
        <v>0</v>
      </c>
      <c r="F17" s="386">
        <f t="shared" si="2"/>
        <v>3461</v>
      </c>
      <c r="G17" s="386">
        <f t="shared" si="2"/>
        <v>0</v>
      </c>
      <c r="H17" s="386">
        <f t="shared" si="2"/>
        <v>-165</v>
      </c>
      <c r="I17" s="386">
        <f t="shared" si="2"/>
        <v>20023</v>
      </c>
      <c r="J17" s="386">
        <f t="shared" si="2"/>
        <v>0</v>
      </c>
      <c r="K17" s="386">
        <f t="shared" si="2"/>
        <v>0</v>
      </c>
      <c r="L17" s="318">
        <f t="shared" si="1"/>
        <v>84531</v>
      </c>
      <c r="M17" s="387">
        <f t="shared" si="2"/>
        <v>15747</v>
      </c>
      <c r="N17" s="91"/>
    </row>
    <row r="18" spans="1:14" ht="15.75">
      <c r="A18" s="282" t="s">
        <v>477</v>
      </c>
      <c r="B18" s="283" t="s">
        <v>478</v>
      </c>
      <c r="C18" s="388"/>
      <c r="D18" s="388"/>
      <c r="E18" s="388"/>
      <c r="F18" s="388"/>
      <c r="G18" s="388"/>
      <c r="H18" s="388"/>
      <c r="I18" s="318">
        <f>+'1-Баланс'!G32</f>
        <v>4259</v>
      </c>
      <c r="J18" s="318">
        <f>+'1-Баланс'!G33</f>
        <v>0</v>
      </c>
      <c r="K18" s="319"/>
      <c r="L18" s="318">
        <f t="shared" si="1"/>
        <v>4259</v>
      </c>
      <c r="M18" s="372">
        <v>363</v>
      </c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8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8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8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8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318">
        <f t="shared" si="1"/>
        <v>0</v>
      </c>
      <c r="M30" s="235"/>
      <c r="N30" s="91"/>
    </row>
    <row r="31" spans="1:14" ht="15.75">
      <c r="A31" s="282" t="s">
        <v>501</v>
      </c>
      <c r="B31" s="283" t="s">
        <v>502</v>
      </c>
      <c r="C31" s="386">
        <f>C19+C22+C23+C26+C30+C29+C17+C18</f>
        <v>58886</v>
      </c>
      <c r="D31" s="386">
        <f aca="true" t="shared" si="6" ref="D31:M31">D19+D22+D23+D26+D30+D29+D17+D18</f>
        <v>2326</v>
      </c>
      <c r="E31" s="386">
        <f t="shared" si="6"/>
        <v>0</v>
      </c>
      <c r="F31" s="386">
        <f t="shared" si="6"/>
        <v>3461</v>
      </c>
      <c r="G31" s="386">
        <f t="shared" si="6"/>
        <v>0</v>
      </c>
      <c r="H31" s="386">
        <f t="shared" si="6"/>
        <v>-165</v>
      </c>
      <c r="I31" s="386">
        <f t="shared" si="6"/>
        <v>24282</v>
      </c>
      <c r="J31" s="386">
        <f t="shared" si="6"/>
        <v>0</v>
      </c>
      <c r="K31" s="386">
        <f t="shared" si="6"/>
        <v>0</v>
      </c>
      <c r="L31" s="318">
        <f t="shared" si="1"/>
        <v>88790</v>
      </c>
      <c r="M31" s="387">
        <f t="shared" si="6"/>
        <v>16110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>
        <v>-1472</v>
      </c>
      <c r="G32" s="234"/>
      <c r="H32" s="234">
        <v>2407</v>
      </c>
      <c r="I32" s="234"/>
      <c r="J32" s="234"/>
      <c r="K32" s="234"/>
      <c r="L32" s="318">
        <f t="shared" si="1"/>
        <v>935</v>
      </c>
      <c r="M32" s="235">
        <v>-647</v>
      </c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5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1">
        <f aca="true" t="shared" si="7" ref="C34:K34">C31+C32+C33</f>
        <v>58886</v>
      </c>
      <c r="D34" s="321">
        <f t="shared" si="7"/>
        <v>2326</v>
      </c>
      <c r="E34" s="321">
        <f t="shared" si="7"/>
        <v>0</v>
      </c>
      <c r="F34" s="321">
        <f t="shared" si="7"/>
        <v>1989</v>
      </c>
      <c r="G34" s="321">
        <f t="shared" si="7"/>
        <v>0</v>
      </c>
      <c r="H34" s="321">
        <f t="shared" si="7"/>
        <v>2242</v>
      </c>
      <c r="I34" s="321">
        <f t="shared" si="7"/>
        <v>24282</v>
      </c>
      <c r="J34" s="321">
        <f t="shared" si="7"/>
        <v>0</v>
      </c>
      <c r="K34" s="321">
        <f t="shared" si="7"/>
        <v>0</v>
      </c>
      <c r="L34" s="384">
        <f t="shared" si="1"/>
        <v>89725</v>
      </c>
      <c r="M34" s="322">
        <f>M31+M32+M33</f>
        <v>15463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2" t="s">
        <v>640</v>
      </c>
      <c r="B38" s="433" t="str">
        <f>pdeReportingDate</f>
        <v>29.02.2019</v>
      </c>
      <c r="C38" s="433"/>
      <c r="D38" s="433"/>
      <c r="E38" s="433"/>
      <c r="F38" s="433"/>
      <c r="G38" s="433"/>
      <c r="H38" s="433"/>
      <c r="M38" s="91"/>
    </row>
    <row r="39" spans="1:13" ht="15.75">
      <c r="A39" s="422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3" t="s">
        <v>8</v>
      </c>
      <c r="B40" s="434" t="str">
        <f>authorName</f>
        <v>Николай Яцино</v>
      </c>
      <c r="C40" s="434"/>
      <c r="D40" s="434"/>
      <c r="E40" s="434"/>
      <c r="F40" s="434"/>
      <c r="G40" s="434"/>
      <c r="H40" s="434"/>
      <c r="M40" s="91"/>
    </row>
    <row r="41" spans="1:13" ht="15.75">
      <c r="A41" s="423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3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.75">
      <c r="A43" s="424"/>
      <c r="B43" s="432" t="s">
        <v>642</v>
      </c>
      <c r="C43" s="432"/>
      <c r="D43" s="432"/>
      <c r="E43" s="432"/>
      <c r="F43" s="309"/>
      <c r="G43" s="37"/>
      <c r="H43" s="35"/>
      <c r="M43" s="91"/>
    </row>
    <row r="44" spans="1:13" ht="15.75">
      <c r="A44" s="424"/>
      <c r="B44" s="432" t="s">
        <v>642</v>
      </c>
      <c r="C44" s="432"/>
      <c r="D44" s="432"/>
      <c r="E44" s="432"/>
      <c r="F44" s="309"/>
      <c r="G44" s="37"/>
      <c r="H44" s="35"/>
      <c r="M44" s="91"/>
    </row>
    <row r="45" spans="1:13" ht="15.75">
      <c r="A45" s="424"/>
      <c r="B45" s="432" t="s">
        <v>642</v>
      </c>
      <c r="C45" s="432"/>
      <c r="D45" s="432"/>
      <c r="E45" s="432"/>
      <c r="F45" s="309"/>
      <c r="G45" s="37"/>
      <c r="H45" s="35"/>
      <c r="M45" s="91"/>
    </row>
    <row r="46" spans="1:13" ht="15.75">
      <c r="A46" s="424"/>
      <c r="B46" s="432" t="s">
        <v>642</v>
      </c>
      <c r="C46" s="432"/>
      <c r="D46" s="432"/>
      <c r="E46" s="432"/>
      <c r="F46" s="309"/>
      <c r="G46" s="37"/>
      <c r="H46" s="35"/>
      <c r="M46" s="91"/>
    </row>
    <row r="47" spans="1:13" ht="15.75">
      <c r="A47" s="424"/>
      <c r="B47" s="432"/>
      <c r="C47" s="432"/>
      <c r="D47" s="432"/>
      <c r="E47" s="432"/>
      <c r="F47" s="309"/>
      <c r="G47" s="37"/>
      <c r="H47" s="35"/>
      <c r="M47" s="91"/>
    </row>
    <row r="48" spans="1:13" ht="15.75">
      <c r="A48" s="424"/>
      <c r="B48" s="432"/>
      <c r="C48" s="432"/>
      <c r="D48" s="432"/>
      <c r="E48" s="432"/>
      <c r="F48" s="309"/>
      <c r="G48" s="37"/>
      <c r="H48" s="35"/>
      <c r="M48" s="91"/>
    </row>
    <row r="49" spans="1:13" ht="15.75">
      <c r="A49" s="424"/>
      <c r="B49" s="432"/>
      <c r="C49" s="432"/>
      <c r="D49" s="432"/>
      <c r="E49" s="432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5" t="s">
        <v>599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.75">
      <c r="A2" s="396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5.75">
      <c r="A3" s="396" t="str">
        <f>CONCATENATE("за периода от ",TEXT(startDate,"dd.mm.yyyy г.")," до ",TEXT(endDate,"dd.mm.yyyy г."))</f>
        <v>за периода от 01.01.2019 г. до 31.12.2019 г.</v>
      </c>
      <c r="B3" s="398"/>
      <c r="C3" s="398"/>
      <c r="D3" s="398"/>
      <c r="E3" s="398"/>
      <c r="F3" s="398"/>
      <c r="G3" s="398"/>
      <c r="H3" s="398"/>
      <c r="I3" s="398"/>
      <c r="J3" s="399"/>
    </row>
    <row r="5" spans="1:7" ht="25.5" customHeight="1">
      <c r="A5" s="402" t="s">
        <v>600</v>
      </c>
      <c r="B5" s="404" t="s">
        <v>602</v>
      </c>
      <c r="C5" s="405" t="s">
        <v>604</v>
      </c>
      <c r="D5" s="406" t="s">
        <v>606</v>
      </c>
      <c r="E5" s="405" t="s">
        <v>605</v>
      </c>
      <c r="F5" s="404" t="s">
        <v>603</v>
      </c>
      <c r="G5" s="403" t="s">
        <v>601</v>
      </c>
    </row>
    <row r="6" spans="1:7" ht="18.75" customHeight="1">
      <c r="A6" s="409" t="s">
        <v>647</v>
      </c>
      <c r="B6" s="400" t="s">
        <v>611</v>
      </c>
      <c r="C6" s="407">
        <f>'1-Баланс'!C95</f>
        <v>144180</v>
      </c>
      <c r="D6" s="408">
        <f aca="true" t="shared" si="0" ref="D6:D15">C6-E6</f>
        <v>0</v>
      </c>
      <c r="E6" s="407">
        <f>'1-Баланс'!G95</f>
        <v>144180</v>
      </c>
      <c r="F6" s="401" t="s">
        <v>612</v>
      </c>
      <c r="G6" s="409" t="s">
        <v>647</v>
      </c>
    </row>
    <row r="7" spans="1:7" ht="18.75" customHeight="1">
      <c r="A7" s="409" t="s">
        <v>647</v>
      </c>
      <c r="B7" s="400" t="s">
        <v>610</v>
      </c>
      <c r="C7" s="407">
        <f>'1-Баланс'!G37</f>
        <v>89725</v>
      </c>
      <c r="D7" s="408">
        <f t="shared" si="0"/>
        <v>30839</v>
      </c>
      <c r="E7" s="407">
        <f>'1-Баланс'!G18</f>
        <v>58886</v>
      </c>
      <c r="F7" s="401" t="s">
        <v>455</v>
      </c>
      <c r="G7" s="409" t="s">
        <v>647</v>
      </c>
    </row>
    <row r="8" spans="1:7" ht="18.75" customHeight="1">
      <c r="A8" s="409" t="s">
        <v>647</v>
      </c>
      <c r="B8" s="400" t="s">
        <v>608</v>
      </c>
      <c r="C8" s="407">
        <f>ABS('1-Баланс'!G32)-ABS('1-Баланс'!G33)</f>
        <v>4259</v>
      </c>
      <c r="D8" s="408">
        <f t="shared" si="0"/>
        <v>363</v>
      </c>
      <c r="E8" s="407">
        <f>ABS('2-Отчет за доходите'!C44)-ABS('2-Отчет за доходите'!G44)</f>
        <v>3896</v>
      </c>
      <c r="F8" s="401" t="s">
        <v>609</v>
      </c>
      <c r="G8" s="410" t="s">
        <v>649</v>
      </c>
    </row>
    <row r="9" spans="1:7" ht="18.75" customHeight="1">
      <c r="A9" s="409" t="s">
        <v>647</v>
      </c>
      <c r="B9" s="400" t="s">
        <v>614</v>
      </c>
      <c r="C9" s="407">
        <f>'1-Баланс'!D92</f>
        <v>11068</v>
      </c>
      <c r="D9" s="408">
        <f t="shared" si="0"/>
        <v>0</v>
      </c>
      <c r="E9" s="407">
        <f>'3-Отчет за паричния поток'!C45</f>
        <v>11068</v>
      </c>
      <c r="F9" s="401" t="s">
        <v>613</v>
      </c>
      <c r="G9" s="410" t="s">
        <v>648</v>
      </c>
    </row>
    <row r="10" spans="1:7" ht="18.75" customHeight="1">
      <c r="A10" s="409" t="s">
        <v>647</v>
      </c>
      <c r="B10" s="400" t="s">
        <v>615</v>
      </c>
      <c r="C10" s="407">
        <f>'1-Баланс'!C92</f>
        <v>10529</v>
      </c>
      <c r="D10" s="408">
        <f t="shared" si="0"/>
        <v>0</v>
      </c>
      <c r="E10" s="407">
        <f>'3-Отчет за паричния поток'!C46</f>
        <v>10529</v>
      </c>
      <c r="F10" s="401" t="s">
        <v>616</v>
      </c>
      <c r="G10" s="410" t="s">
        <v>648</v>
      </c>
    </row>
    <row r="11" spans="1:7" ht="18.75" customHeight="1">
      <c r="A11" s="409" t="s">
        <v>647</v>
      </c>
      <c r="B11" s="400" t="s">
        <v>610</v>
      </c>
      <c r="C11" s="407">
        <f>'1-Баланс'!G37</f>
        <v>89725</v>
      </c>
      <c r="D11" s="408">
        <f t="shared" si="0"/>
        <v>0</v>
      </c>
      <c r="E11" s="407">
        <f>'4-Отчет за собствения капитал'!L34</f>
        <v>89725</v>
      </c>
      <c r="F11" s="401" t="s">
        <v>617</v>
      </c>
      <c r="G11" s="410" t="s">
        <v>650</v>
      </c>
    </row>
    <row r="12" spans="1:7" ht="18.75" customHeight="1">
      <c r="A12" s="409" t="s">
        <v>647</v>
      </c>
      <c r="B12" s="400" t="s">
        <v>618</v>
      </c>
      <c r="C12" s="407">
        <f>'1-Баланс'!C36</f>
        <v>7</v>
      </c>
      <c r="D12" s="408" t="e">
        <f t="shared" si="0"/>
        <v>#REF!</v>
      </c>
      <c r="E12" s="407" t="e">
        <f>#REF!+#REF!</f>
        <v>#REF!</v>
      </c>
      <c r="F12" s="401" t="s">
        <v>622</v>
      </c>
      <c r="G12" s="410" t="s">
        <v>651</v>
      </c>
    </row>
    <row r="13" spans="1:7" ht="18.75" customHeight="1">
      <c r="A13" s="409" t="s">
        <v>647</v>
      </c>
      <c r="B13" s="400" t="s">
        <v>619</v>
      </c>
      <c r="C13" s="407">
        <f>'1-Баланс'!C37</f>
        <v>0</v>
      </c>
      <c r="D13" s="408" t="e">
        <f t="shared" si="0"/>
        <v>#REF!</v>
      </c>
      <c r="E13" s="407" t="e">
        <f>#REF!+#REF!</f>
        <v>#REF!</v>
      </c>
      <c r="F13" s="401" t="s">
        <v>623</v>
      </c>
      <c r="G13" s="410" t="s">
        <v>651</v>
      </c>
    </row>
    <row r="14" spans="1:7" ht="18.75" customHeight="1">
      <c r="A14" s="409" t="s">
        <v>647</v>
      </c>
      <c r="B14" s="400" t="s">
        <v>620</v>
      </c>
      <c r="C14" s="407">
        <f>'1-Баланс'!C38</f>
        <v>157</v>
      </c>
      <c r="D14" s="408" t="e">
        <f t="shared" si="0"/>
        <v>#REF!</v>
      </c>
      <c r="E14" s="407" t="e">
        <f>#REF!+#REF!</f>
        <v>#REF!</v>
      </c>
      <c r="F14" s="401" t="s">
        <v>624</v>
      </c>
      <c r="G14" s="410" t="s">
        <v>651</v>
      </c>
    </row>
    <row r="15" spans="1:7" ht="18.75" customHeight="1">
      <c r="A15" s="409" t="s">
        <v>647</v>
      </c>
      <c r="B15" s="400" t="s">
        <v>621</v>
      </c>
      <c r="C15" s="407">
        <f>'1-Баланс'!C39</f>
        <v>0</v>
      </c>
      <c r="D15" s="408" t="e">
        <f t="shared" si="0"/>
        <v>#REF!</v>
      </c>
      <c r="E15" s="407" t="e">
        <f>#REF!+#REF!</f>
        <v>#REF!</v>
      </c>
      <c r="F15" s="401" t="s">
        <v>625</v>
      </c>
      <c r="G15" s="410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8" t="s">
        <v>547</v>
      </c>
      <c r="B2" s="376"/>
      <c r="C2" s="376"/>
      <c r="D2" s="377"/>
    </row>
    <row r="3" spans="1:5" ht="31.5">
      <c r="A3" s="326">
        <v>1</v>
      </c>
      <c r="B3" s="324" t="s">
        <v>551</v>
      </c>
      <c r="C3" s="325" t="s">
        <v>550</v>
      </c>
      <c r="D3" s="375">
        <f>(ABS('1-Баланс'!G32)-ABS('1-Баланс'!G33))/'2-Отчет за доходите'!G16</f>
        <v>0.07165570267678383</v>
      </c>
      <c r="E3" s="379"/>
    </row>
    <row r="4" spans="1:4" ht="31.5">
      <c r="A4" s="326">
        <v>2</v>
      </c>
      <c r="B4" s="324" t="s">
        <v>577</v>
      </c>
      <c r="C4" s="325" t="s">
        <v>554</v>
      </c>
      <c r="D4" s="375">
        <f>(ABS('1-Баланс'!G32)-ABS('1-Баланс'!G33))/'1-Баланс'!G37</f>
        <v>0.0474672610755085</v>
      </c>
    </row>
    <row r="5" spans="1:4" ht="31.5">
      <c r="A5" s="326">
        <v>3</v>
      </c>
      <c r="B5" s="324" t="s">
        <v>555</v>
      </c>
      <c r="C5" s="325" t="s">
        <v>556</v>
      </c>
      <c r="D5" s="375">
        <f>(ABS('1-Баланс'!G32)-ABS('1-Баланс'!G33))/('1-Баланс'!G56+'1-Баланс'!G79)</f>
        <v>0.10922753385309807</v>
      </c>
    </row>
    <row r="6" spans="1:4" ht="31.5">
      <c r="A6" s="326">
        <v>4</v>
      </c>
      <c r="B6" s="324" t="s">
        <v>578</v>
      </c>
      <c r="C6" s="325" t="s">
        <v>557</v>
      </c>
      <c r="D6" s="375">
        <f>(ABS('1-Баланс'!G32)-ABS('1-Баланс'!G33))/('1-Баланс'!C95)</f>
        <v>0.02953946455819115</v>
      </c>
    </row>
    <row r="7" spans="1:4" ht="24" customHeight="1">
      <c r="A7" s="378" t="s">
        <v>558</v>
      </c>
      <c r="B7" s="376"/>
      <c r="C7" s="376"/>
      <c r="D7" s="377"/>
    </row>
    <row r="8" spans="1:4" ht="31.5">
      <c r="A8" s="326">
        <v>5</v>
      </c>
      <c r="B8" s="324" t="s">
        <v>559</v>
      </c>
      <c r="C8" s="325" t="s">
        <v>560</v>
      </c>
      <c r="D8" s="374">
        <f>'2-Отчет за доходите'!G36/'2-Отчет за доходите'!C36</f>
        <v>1.0851408165778318</v>
      </c>
    </row>
    <row r="9" spans="1:4" ht="24" customHeight="1">
      <c r="A9" s="378" t="s">
        <v>561</v>
      </c>
      <c r="B9" s="376"/>
      <c r="C9" s="376"/>
      <c r="D9" s="377"/>
    </row>
    <row r="10" spans="1:4" ht="31.5">
      <c r="A10" s="326">
        <v>6</v>
      </c>
      <c r="B10" s="324" t="s">
        <v>562</v>
      </c>
      <c r="C10" s="325" t="s">
        <v>563</v>
      </c>
      <c r="D10" s="374">
        <f>'1-Баланс'!C94/'1-Баланс'!G79</f>
        <v>0.8964454420583604</v>
      </c>
    </row>
    <row r="11" spans="1:4" ht="63">
      <c r="A11" s="326">
        <v>7</v>
      </c>
      <c r="B11" s="324" t="s">
        <v>564</v>
      </c>
      <c r="C11" s="325" t="s">
        <v>629</v>
      </c>
      <c r="D11" s="374">
        <f>('1-Баланс'!C76+'1-Баланс'!C85+'1-Баланс'!C92)/'1-Баланс'!G79</f>
        <v>0.832155181078093</v>
      </c>
    </row>
    <row r="12" spans="1:4" ht="47.25">
      <c r="A12" s="326">
        <v>8</v>
      </c>
      <c r="B12" s="324" t="s">
        <v>565</v>
      </c>
      <c r="C12" s="325" t="s">
        <v>630</v>
      </c>
      <c r="D12" s="374">
        <f>('1-Баланс'!C85+'1-Баланс'!C92)/'1-Баланс'!G79</f>
        <v>0.3527421354149218</v>
      </c>
    </row>
    <row r="13" spans="1:4" ht="31.5">
      <c r="A13" s="326">
        <v>9</v>
      </c>
      <c r="B13" s="324" t="s">
        <v>566</v>
      </c>
      <c r="C13" s="325" t="s">
        <v>567</v>
      </c>
      <c r="D13" s="374">
        <f>'1-Баланс'!C92/'1-Баланс'!G79</f>
        <v>0.3527421354149218</v>
      </c>
    </row>
    <row r="14" spans="1:4" ht="24" customHeight="1">
      <c r="A14" s="378" t="s">
        <v>568</v>
      </c>
      <c r="B14" s="376"/>
      <c r="C14" s="376"/>
      <c r="D14" s="377"/>
    </row>
    <row r="15" spans="1:4" ht="31.5">
      <c r="A15" s="326">
        <v>10</v>
      </c>
      <c r="B15" s="324" t="s">
        <v>582</v>
      </c>
      <c r="C15" s="325" t="s">
        <v>569</v>
      </c>
      <c r="D15" s="374">
        <f>'2-Отчет за доходите'!G16/('1-Баланс'!C20+'1-Баланс'!C21+'1-Баланс'!C22+'1-Баланс'!C28+'1-Баланс'!C65)</f>
        <v>0.6209140767824497</v>
      </c>
    </row>
    <row r="16" spans="1:4" ht="31.5">
      <c r="A16" s="381">
        <v>11</v>
      </c>
      <c r="B16" s="324" t="s">
        <v>568</v>
      </c>
      <c r="C16" s="325" t="s">
        <v>581</v>
      </c>
      <c r="D16" s="382">
        <f>'2-Отчет за доходите'!G16/('1-Баланс'!C95)</f>
        <v>0.4122416423914551</v>
      </c>
    </row>
    <row r="17" spans="1:4" ht="24" customHeight="1">
      <c r="A17" s="378" t="s">
        <v>571</v>
      </c>
      <c r="B17" s="376"/>
      <c r="C17" s="376"/>
      <c r="D17" s="377"/>
    </row>
    <row r="18" spans="1:4" ht="31.5">
      <c r="A18" s="326">
        <v>12</v>
      </c>
      <c r="B18" s="324" t="s">
        <v>597</v>
      </c>
      <c r="C18" s="325" t="s">
        <v>570</v>
      </c>
      <c r="D18" s="374">
        <f>'1-Баланс'!G56/('1-Баланс'!G37+'1-Баланс'!G56)</f>
        <v>0.0924768378039406</v>
      </c>
    </row>
    <row r="19" spans="1:4" ht="31.5">
      <c r="A19" s="326">
        <v>13</v>
      </c>
      <c r="B19" s="324" t="s">
        <v>598</v>
      </c>
      <c r="C19" s="325" t="s">
        <v>572</v>
      </c>
      <c r="D19" s="374">
        <f>D4/D5</f>
        <v>0.43457230426302595</v>
      </c>
    </row>
    <row r="20" spans="1:4" ht="31.5">
      <c r="A20" s="326">
        <v>14</v>
      </c>
      <c r="B20" s="324" t="s">
        <v>573</v>
      </c>
      <c r="C20" s="325" t="s">
        <v>574</v>
      </c>
      <c r="D20" s="374">
        <f>D6/D5</f>
        <v>0.2704397281176308</v>
      </c>
    </row>
    <row r="21" spans="1:5" ht="15.75">
      <c r="A21" s="326">
        <v>15</v>
      </c>
      <c r="B21" s="324" t="s">
        <v>575</v>
      </c>
      <c r="C21" s="325" t="s">
        <v>576</v>
      </c>
      <c r="D21" s="411">
        <f>'2-Отчет за доходите'!C37+'2-Отчет за доходите'!C25</f>
        <v>5131</v>
      </c>
      <c r="E21" s="426"/>
    </row>
    <row r="22" spans="1:4" ht="47.25">
      <c r="A22" s="326">
        <v>16</v>
      </c>
      <c r="B22" s="324" t="s">
        <v>579</v>
      </c>
      <c r="C22" s="325" t="s">
        <v>580</v>
      </c>
      <c r="D22" s="380">
        <f>D21/'1-Баланс'!G37</f>
        <v>0.057185845639453885</v>
      </c>
    </row>
    <row r="23" spans="1:4" ht="31.5">
      <c r="A23" s="326">
        <v>17</v>
      </c>
      <c r="B23" s="324" t="s">
        <v>643</v>
      </c>
      <c r="C23" s="325" t="s">
        <v>644</v>
      </c>
      <c r="D23" s="380">
        <f>(D21+'2-Отчет за доходите'!C14)/'2-Отчет за доходите'!G31</f>
        <v>0.16361632110493296</v>
      </c>
    </row>
    <row r="24" spans="1:4" ht="31.5">
      <c r="A24" s="326">
        <v>18</v>
      </c>
      <c r="B24" s="324" t="s">
        <v>645</v>
      </c>
      <c r="C24" s="325" t="s">
        <v>646</v>
      </c>
      <c r="D24" s="380">
        <f>('1-Баланс'!G56+'1-Баланс'!G79)/(D21+'2-Отчет за доходите'!C14)</f>
        <v>3.8632715743584662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6">
        <f aca="true" t="shared" si="2" ref="C3:C34">endDate</f>
        <v>43830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6">
        <f t="shared" si="2"/>
        <v>43830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3739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6">
        <f t="shared" si="2"/>
        <v>43830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855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6">
        <f t="shared" si="2"/>
        <v>43830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6">
        <f t="shared" si="2"/>
        <v>43830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48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6">
        <f t="shared" si="2"/>
        <v>43830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249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6">
        <f t="shared" si="2"/>
        <v>43830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554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6">
        <f t="shared" si="2"/>
        <v>43830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135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6">
        <f t="shared" si="2"/>
        <v>43830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5580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6">
        <f t="shared" si="2"/>
        <v>43830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6">
        <f t="shared" si="2"/>
        <v>43830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6">
        <f t="shared" si="2"/>
        <v>43830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6571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6">
        <f t="shared" si="2"/>
        <v>43830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83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6">
        <f t="shared" si="2"/>
        <v>43830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58475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6">
        <f t="shared" si="2"/>
        <v>43830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23760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6">
        <f t="shared" si="2"/>
        <v>43830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88889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6">
        <f t="shared" si="2"/>
        <v>43830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22482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6">
        <f t="shared" si="2"/>
        <v>43830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6">
        <f t="shared" si="2"/>
        <v>43830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22482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6">
        <f t="shared" si="2"/>
        <v>43830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164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6">
        <f t="shared" si="2"/>
        <v>43830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7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6">
        <f t="shared" si="2"/>
        <v>43830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6">
        <f t="shared" si="2"/>
        <v>43830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157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6">
        <f t="shared" si="2"/>
        <v>43830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6">
        <f t="shared" si="2"/>
        <v>43830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6">
        <f t="shared" si="2"/>
        <v>43830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6">
        <f t="shared" si="2"/>
        <v>43830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6">
        <f t="shared" si="2"/>
        <v>43830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6">
        <f t="shared" si="2"/>
        <v>43830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6">
        <f t="shared" si="2"/>
        <v>43830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6">
        <f t="shared" si="2"/>
        <v>43830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164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6">
        <f t="shared" si="2"/>
        <v>43830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6">
        <f aca="true" t="shared" si="5" ref="C35:C66">endDate</f>
        <v>43830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6">
        <f t="shared" si="5"/>
        <v>43830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6">
        <f t="shared" si="5"/>
        <v>43830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6">
        <f t="shared" si="5"/>
        <v>43830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6">
        <f t="shared" si="5"/>
        <v>43830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6">
        <f t="shared" si="5"/>
        <v>43830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307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6">
        <f t="shared" si="5"/>
        <v>43830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117422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6">
        <f t="shared" si="5"/>
        <v>43830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61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6">
        <f t="shared" si="5"/>
        <v>43830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6">
        <f t="shared" si="5"/>
        <v>43830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1195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6">
        <f t="shared" si="5"/>
        <v>43830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6">
        <f t="shared" si="5"/>
        <v>43830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6">
        <f t="shared" si="5"/>
        <v>43830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6">
        <f t="shared" si="5"/>
        <v>43830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1256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6">
        <f t="shared" si="5"/>
        <v>43830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616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6">
        <f t="shared" si="5"/>
        <v>43830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11607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6">
        <f t="shared" si="5"/>
        <v>43830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6">
        <f t="shared" si="5"/>
        <v>43830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6">
        <f t="shared" si="5"/>
        <v>43830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6">
        <f t="shared" si="5"/>
        <v>43830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473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6">
        <f t="shared" si="5"/>
        <v>43830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6">
        <f t="shared" si="5"/>
        <v>43830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1614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6">
        <f t="shared" si="5"/>
        <v>43830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14310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6">
        <f t="shared" si="5"/>
        <v>43830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6">
        <f t="shared" si="5"/>
        <v>43830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6">
        <f t="shared" si="5"/>
        <v>43830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6">
        <f t="shared" si="5"/>
        <v>43830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6">
        <f t="shared" si="5"/>
        <v>43830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6">
        <f t="shared" si="5"/>
        <v>43830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6">
        <f t="shared" si="5"/>
        <v>43830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6">
        <f t="shared" si="5"/>
        <v>43830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72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6">
        <f t="shared" si="5"/>
        <v>43830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9584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6">
        <f aca="true" t="shared" si="8" ref="C67:C98">endDate</f>
        <v>43830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675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6">
        <f t="shared" si="8"/>
        <v>43830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198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6">
        <f t="shared" si="8"/>
        <v>43830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10529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6">
        <f t="shared" si="8"/>
        <v>43830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663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6">
        <f t="shared" si="8"/>
        <v>43830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26758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6">
        <f t="shared" si="8"/>
        <v>43830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144180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6">
        <f t="shared" si="8"/>
        <v>43830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6">
        <f t="shared" si="8"/>
        <v>43830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6">
        <f t="shared" si="8"/>
        <v>43830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6">
        <f t="shared" si="8"/>
        <v>43830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-475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6">
        <f t="shared" si="8"/>
        <v>43830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6">
        <f t="shared" si="8"/>
        <v>43830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6">
        <f t="shared" si="8"/>
        <v>43830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58886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6">
        <f t="shared" si="8"/>
        <v>43830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2326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6">
        <f t="shared" si="8"/>
        <v>43830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6">
        <f t="shared" si="8"/>
        <v>43830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4231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6">
        <f t="shared" si="8"/>
        <v>43830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1990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6">
        <f t="shared" si="8"/>
        <v>43830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6">
        <f t="shared" si="8"/>
        <v>43830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2241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6">
        <f t="shared" si="8"/>
        <v>43830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6557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6">
        <f t="shared" si="8"/>
        <v>43830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20023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6">
        <f t="shared" si="8"/>
        <v>43830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20023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6">
        <f t="shared" si="8"/>
        <v>43830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6">
        <f t="shared" si="8"/>
        <v>43830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6">
        <f t="shared" si="8"/>
        <v>43830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4259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6">
        <f t="shared" si="8"/>
        <v>43830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6">
        <f t="shared" si="8"/>
        <v>43830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24282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6">
        <f t="shared" si="8"/>
        <v>43830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89725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6">
        <f t="shared" si="8"/>
        <v>43830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15463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6">
        <f t="shared" si="8"/>
        <v>43830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6">
        <f t="shared" si="8"/>
        <v>43830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8402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6">
        <f t="shared" si="8"/>
        <v>43830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6">
        <f aca="true" t="shared" si="11" ref="C99:C125">endDate</f>
        <v>43830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6">
        <f t="shared" si="11"/>
        <v>43830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6">
        <f t="shared" si="11"/>
        <v>43830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285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6">
        <f t="shared" si="11"/>
        <v>43830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8687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6">
        <f t="shared" si="11"/>
        <v>43830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6">
        <f t="shared" si="11"/>
        <v>43830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6">
        <f t="shared" si="11"/>
        <v>43830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456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6">
        <f t="shared" si="11"/>
        <v>43830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6">
        <f t="shared" si="11"/>
        <v>43830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9143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6">
        <f t="shared" si="11"/>
        <v>43830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15396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6">
        <f t="shared" si="11"/>
        <v>43830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6">
        <f t="shared" si="11"/>
        <v>43830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11325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6">
        <f t="shared" si="11"/>
        <v>43830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362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6">
        <f t="shared" si="11"/>
        <v>43830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6">
        <f t="shared" si="11"/>
        <v>43830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5809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6">
        <f t="shared" si="11"/>
        <v>43830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2831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6">
        <f t="shared" si="11"/>
        <v>43830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1338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6">
        <f t="shared" si="11"/>
        <v>43830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339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6">
        <f t="shared" si="11"/>
        <v>43830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646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6">
        <f t="shared" si="11"/>
        <v>43830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878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6">
        <f t="shared" si="11"/>
        <v>43830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1728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6">
        <f t="shared" si="11"/>
        <v>43830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29327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6">
        <f t="shared" si="11"/>
        <v>43830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6">
        <f t="shared" si="11"/>
        <v>43830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522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6">
        <f t="shared" si="11"/>
        <v>43830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6">
        <f t="shared" si="11"/>
        <v>43830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29849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6">
        <f t="shared" si="11"/>
        <v>43830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144180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6">
        <f aca="true" t="shared" si="14" ref="C127:C158">endDate</f>
        <v>43830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3944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6">
        <f t="shared" si="14"/>
        <v>43830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7250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6">
        <f t="shared" si="14"/>
        <v>43830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4962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6">
        <f t="shared" si="14"/>
        <v>43830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20111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6">
        <f t="shared" si="14"/>
        <v>43830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2442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6">
        <f t="shared" si="14"/>
        <v>43830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17371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6">
        <f t="shared" si="14"/>
        <v>43830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1241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6">
        <f t="shared" si="14"/>
        <v>43830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-1174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6">
        <f t="shared" si="14"/>
        <v>43830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6">
        <f t="shared" si="14"/>
        <v>43830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6">
        <f t="shared" si="14"/>
        <v>43830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56147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6">
        <f t="shared" si="14"/>
        <v>43830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291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6">
        <f t="shared" si="14"/>
        <v>43830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6">
        <f t="shared" si="14"/>
        <v>43830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207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6">
        <f t="shared" si="14"/>
        <v>43830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202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6">
        <f t="shared" si="14"/>
        <v>43830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700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6">
        <f t="shared" si="14"/>
        <v>43830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56847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6">
        <f t="shared" si="14"/>
        <v>43830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4840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6">
        <f t="shared" si="14"/>
        <v>43830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6">
        <f t="shared" si="14"/>
        <v>43830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6">
        <f t="shared" si="14"/>
        <v>43830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56847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6">
        <f t="shared" si="14"/>
        <v>43830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4840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6">
        <f t="shared" si="14"/>
        <v>43830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581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6">
        <f t="shared" si="14"/>
        <v>43830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495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6">
        <f t="shared" si="14"/>
        <v>43830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86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6">
        <f t="shared" si="14"/>
        <v>43830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6">
        <f t="shared" si="14"/>
        <v>43830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4259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6">
        <f t="shared" si="14"/>
        <v>43830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363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6">
        <f t="shared" si="14"/>
        <v>43830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3896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6">
        <f t="shared" si="14"/>
        <v>43830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61687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6">
        <f t="shared" si="14"/>
        <v>43830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6">
        <f t="shared" si="14"/>
        <v>43830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19463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6">
        <f aca="true" t="shared" si="17" ref="C159:C179">endDate</f>
        <v>43830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39442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6">
        <f t="shared" si="17"/>
        <v>43830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532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6">
        <f t="shared" si="17"/>
        <v>43830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59437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6">
        <f t="shared" si="17"/>
        <v>43830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2017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6">
        <f t="shared" si="17"/>
        <v>43830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6">
        <f t="shared" si="17"/>
        <v>43830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49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6">
        <f t="shared" si="17"/>
        <v>43830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6">
        <f t="shared" si="17"/>
        <v>43830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6">
        <f t="shared" si="17"/>
        <v>43830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184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6">
        <f t="shared" si="17"/>
        <v>43830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6">
        <f t="shared" si="17"/>
        <v>43830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233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6">
        <f t="shared" si="17"/>
        <v>43830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61687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6">
        <f t="shared" si="17"/>
        <v>43830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6">
        <f t="shared" si="17"/>
        <v>43830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6">
        <f t="shared" si="17"/>
        <v>43830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6">
        <f t="shared" si="17"/>
        <v>43830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61687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6">
        <f t="shared" si="17"/>
        <v>43830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6">
        <f t="shared" si="17"/>
        <v>43830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6">
        <f t="shared" si="17"/>
        <v>43830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6">
        <f t="shared" si="17"/>
        <v>43830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6">
        <f t="shared" si="17"/>
        <v>43830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61687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6">
        <f aca="true" t="shared" si="20" ref="C181:C216">endDate</f>
        <v>43830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60906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6">
        <f t="shared" si="20"/>
        <v>43830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-33057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6">
        <f t="shared" si="20"/>
        <v>43830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6">
        <f t="shared" si="20"/>
        <v>43830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-19325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6">
        <f t="shared" si="20"/>
        <v>43830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0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6">
        <f t="shared" si="20"/>
        <v>43830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-1226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6">
        <f t="shared" si="20"/>
        <v>43830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6">
        <f t="shared" si="20"/>
        <v>43830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6">
        <f t="shared" si="20"/>
        <v>43830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38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6">
        <f t="shared" si="20"/>
        <v>43830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-697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6">
        <f t="shared" si="20"/>
        <v>43830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6639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6">
        <f t="shared" si="20"/>
        <v>43830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-4147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6">
        <f t="shared" si="20"/>
        <v>43830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6">
        <f t="shared" si="20"/>
        <v>43830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26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6">
        <f t="shared" si="20"/>
        <v>43830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-2346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6">
        <f t="shared" si="20"/>
        <v>43830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-160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6">
        <f t="shared" si="20"/>
        <v>43830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-1956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6">
        <f t="shared" si="20"/>
        <v>43830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6">
        <f t="shared" si="20"/>
        <v>43830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6">
        <f t="shared" si="20"/>
        <v>43830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6">
        <f t="shared" si="20"/>
        <v>43830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6">
        <f t="shared" si="20"/>
        <v>43830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-8583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6">
        <f t="shared" si="20"/>
        <v>43830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6">
        <f t="shared" si="20"/>
        <v>43830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-206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6">
        <f t="shared" si="20"/>
        <v>43830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22020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6">
        <f t="shared" si="20"/>
        <v>43830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-16951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6">
        <f t="shared" si="20"/>
        <v>43830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-159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6">
        <f t="shared" si="20"/>
        <v>43830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-162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6">
        <f t="shared" si="20"/>
        <v>43830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6">
        <f t="shared" si="20"/>
        <v>43830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-3137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6">
        <f t="shared" si="20"/>
        <v>43830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1405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6">
        <f t="shared" si="20"/>
        <v>43830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-539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6">
        <f t="shared" si="20"/>
        <v>43830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11068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6">
        <f t="shared" si="20"/>
        <v>43830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10529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6">
        <f t="shared" si="20"/>
        <v>43830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9655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6">
        <f t="shared" si="20"/>
        <v>43830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874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6">
        <f aca="true" t="shared" si="23" ref="C218:C281">endDate</f>
        <v>43830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58886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6">
        <f t="shared" si="23"/>
        <v>43830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6">
        <f t="shared" si="23"/>
        <v>43830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6">
        <f t="shared" si="23"/>
        <v>43830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6">
        <f t="shared" si="23"/>
        <v>43830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58886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6">
        <f t="shared" si="23"/>
        <v>43830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6">
        <f t="shared" si="23"/>
        <v>43830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6">
        <f t="shared" si="23"/>
        <v>43830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6">
        <f t="shared" si="23"/>
        <v>43830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6">
        <f t="shared" si="23"/>
        <v>43830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6">
        <f t="shared" si="23"/>
        <v>43830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6">
        <f t="shared" si="23"/>
        <v>43830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6">
        <f t="shared" si="23"/>
        <v>43830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6">
        <f t="shared" si="23"/>
        <v>43830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6">
        <f t="shared" si="23"/>
        <v>43830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6">
        <f t="shared" si="23"/>
        <v>43830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6">
        <f t="shared" si="23"/>
        <v>43830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6">
        <f t="shared" si="23"/>
        <v>43830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6">
        <f t="shared" si="23"/>
        <v>43830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58886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6">
        <f t="shared" si="23"/>
        <v>43830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6">
        <f t="shared" si="23"/>
        <v>43830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6">
        <f t="shared" si="23"/>
        <v>43830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58886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6">
        <f t="shared" si="23"/>
        <v>43830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2326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6">
        <f t="shared" si="23"/>
        <v>43830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6">
        <f t="shared" si="23"/>
        <v>43830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6">
        <f t="shared" si="23"/>
        <v>43830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6">
        <f t="shared" si="23"/>
        <v>43830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2326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6">
        <f t="shared" si="23"/>
        <v>43830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6">
        <f t="shared" si="23"/>
        <v>43830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6">
        <f t="shared" si="23"/>
        <v>43830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6">
        <f t="shared" si="23"/>
        <v>43830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6">
        <f t="shared" si="23"/>
        <v>43830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6">
        <f t="shared" si="23"/>
        <v>43830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6">
        <f t="shared" si="23"/>
        <v>43830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6">
        <f t="shared" si="23"/>
        <v>43830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6">
        <f t="shared" si="23"/>
        <v>43830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6">
        <f t="shared" si="23"/>
        <v>43830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6">
        <f t="shared" si="23"/>
        <v>43830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6">
        <f t="shared" si="23"/>
        <v>43830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6">
        <f t="shared" si="23"/>
        <v>43830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6">
        <f t="shared" si="23"/>
        <v>43830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2326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6">
        <f t="shared" si="23"/>
        <v>43830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6">
        <f t="shared" si="23"/>
        <v>43830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6">
        <f t="shared" si="23"/>
        <v>43830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2326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6">
        <f t="shared" si="23"/>
        <v>43830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6">
        <f t="shared" si="23"/>
        <v>43830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6">
        <f t="shared" si="23"/>
        <v>43830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6">
        <f t="shared" si="23"/>
        <v>43830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6">
        <f t="shared" si="23"/>
        <v>43830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6">
        <f t="shared" si="23"/>
        <v>43830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6">
        <f t="shared" si="23"/>
        <v>43830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6">
        <f t="shared" si="23"/>
        <v>43830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6">
        <f t="shared" si="23"/>
        <v>43830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6">
        <f t="shared" si="23"/>
        <v>43830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6">
        <f t="shared" si="23"/>
        <v>43830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6">
        <f t="shared" si="23"/>
        <v>43830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6">
        <f t="shared" si="23"/>
        <v>43830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6">
        <f t="shared" si="23"/>
        <v>43830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6">
        <f t="shared" si="23"/>
        <v>43830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6">
        <f t="shared" si="23"/>
        <v>43830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6">
        <f t="shared" si="23"/>
        <v>43830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6">
        <f t="shared" si="23"/>
        <v>43830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6">
        <f t="shared" si="23"/>
        <v>43830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6">
        <f t="shared" si="23"/>
        <v>43830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6">
        <f aca="true" t="shared" si="26" ref="C282:C345">endDate</f>
        <v>43830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6">
        <f t="shared" si="26"/>
        <v>43830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6">
        <f t="shared" si="26"/>
        <v>43830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3461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6">
        <f t="shared" si="26"/>
        <v>43830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6">
        <f t="shared" si="26"/>
        <v>43830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6">
        <f t="shared" si="26"/>
        <v>43830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6">
        <f t="shared" si="26"/>
        <v>43830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3461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6">
        <f t="shared" si="26"/>
        <v>43830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6">
        <f t="shared" si="26"/>
        <v>43830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6">
        <f t="shared" si="26"/>
        <v>43830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6">
        <f t="shared" si="26"/>
        <v>43830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6">
        <f t="shared" si="26"/>
        <v>43830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6">
        <f t="shared" si="26"/>
        <v>43830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6">
        <f t="shared" si="26"/>
        <v>43830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6">
        <f t="shared" si="26"/>
        <v>43830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6">
        <f t="shared" si="26"/>
        <v>43830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6">
        <f t="shared" si="26"/>
        <v>43830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6">
        <f t="shared" si="26"/>
        <v>43830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6">
        <f t="shared" si="26"/>
        <v>43830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6">
        <f t="shared" si="26"/>
        <v>43830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6">
        <f t="shared" si="26"/>
        <v>43830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3461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6">
        <f t="shared" si="26"/>
        <v>43830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-1472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6">
        <f t="shared" si="26"/>
        <v>43830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6">
        <f t="shared" si="26"/>
        <v>43830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1989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6">
        <f t="shared" si="26"/>
        <v>43830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6">
        <f t="shared" si="26"/>
        <v>43830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6">
        <f t="shared" si="26"/>
        <v>43830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6">
        <f t="shared" si="26"/>
        <v>43830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6">
        <f t="shared" si="26"/>
        <v>43830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6">
        <f t="shared" si="26"/>
        <v>43830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6">
        <f t="shared" si="26"/>
        <v>43830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6">
        <f t="shared" si="26"/>
        <v>43830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6">
        <f t="shared" si="26"/>
        <v>43830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6">
        <f t="shared" si="26"/>
        <v>43830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6">
        <f t="shared" si="26"/>
        <v>43830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6">
        <f t="shared" si="26"/>
        <v>43830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6">
        <f t="shared" si="26"/>
        <v>43830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6">
        <f t="shared" si="26"/>
        <v>43830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6">
        <f t="shared" si="26"/>
        <v>43830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6">
        <f t="shared" si="26"/>
        <v>43830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6">
        <f t="shared" si="26"/>
        <v>43830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6">
        <f t="shared" si="26"/>
        <v>43830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6">
        <f t="shared" si="26"/>
        <v>43830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6">
        <f t="shared" si="26"/>
        <v>43830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6">
        <f t="shared" si="26"/>
        <v>43830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6">
        <f t="shared" si="26"/>
        <v>43830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6">
        <f t="shared" si="26"/>
        <v>43830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-165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6">
        <f t="shared" si="26"/>
        <v>43830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6">
        <f t="shared" si="26"/>
        <v>43830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6">
        <f t="shared" si="26"/>
        <v>43830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6">
        <f t="shared" si="26"/>
        <v>43830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-165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6">
        <f t="shared" si="26"/>
        <v>43830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6">
        <f t="shared" si="26"/>
        <v>43830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6">
        <f t="shared" si="26"/>
        <v>43830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6">
        <f t="shared" si="26"/>
        <v>43830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6">
        <f t="shared" si="26"/>
        <v>43830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6">
        <f t="shared" si="26"/>
        <v>43830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6">
        <f t="shared" si="26"/>
        <v>43830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6">
        <f t="shared" si="26"/>
        <v>43830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6">
        <f t="shared" si="26"/>
        <v>43830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6">
        <f t="shared" si="26"/>
        <v>43830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6">
        <f t="shared" si="26"/>
        <v>43830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6">
        <f t="shared" si="26"/>
        <v>43830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6">
        <f t="shared" si="26"/>
        <v>43830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6">
        <f aca="true" t="shared" si="29" ref="C346:C409">endDate</f>
        <v>43830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-165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6">
        <f t="shared" si="29"/>
        <v>43830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2407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6">
        <f t="shared" si="29"/>
        <v>43830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6">
        <f t="shared" si="29"/>
        <v>43830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2242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6">
        <f t="shared" si="29"/>
        <v>43830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23792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6">
        <f t="shared" si="29"/>
        <v>43830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-3769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6">
        <f t="shared" si="29"/>
        <v>43830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-3769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6">
        <f t="shared" si="29"/>
        <v>43830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6">
        <f t="shared" si="29"/>
        <v>43830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20023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6">
        <f t="shared" si="29"/>
        <v>43830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4259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6">
        <f t="shared" si="29"/>
        <v>43830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6">
        <f t="shared" si="29"/>
        <v>43830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6">
        <f t="shared" si="29"/>
        <v>43830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6">
        <f t="shared" si="29"/>
        <v>43830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6">
        <f t="shared" si="29"/>
        <v>43830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6">
        <f t="shared" si="29"/>
        <v>43830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6">
        <f t="shared" si="29"/>
        <v>43830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6">
        <f t="shared" si="29"/>
        <v>43830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6">
        <f t="shared" si="29"/>
        <v>43830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6">
        <f t="shared" si="29"/>
        <v>43830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6">
        <f t="shared" si="29"/>
        <v>43830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6">
        <f t="shared" si="29"/>
        <v>43830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6">
        <f t="shared" si="29"/>
        <v>43830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24282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6">
        <f t="shared" si="29"/>
        <v>43830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6">
        <f t="shared" si="29"/>
        <v>43830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6">
        <f t="shared" si="29"/>
        <v>43830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24282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6">
        <f t="shared" si="29"/>
        <v>43830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0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6">
        <f t="shared" si="29"/>
        <v>43830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6">
        <f t="shared" si="29"/>
        <v>43830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6">
        <f t="shared" si="29"/>
        <v>43830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6">
        <f t="shared" si="29"/>
        <v>43830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0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6">
        <f t="shared" si="29"/>
        <v>43830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6">
        <f t="shared" si="29"/>
        <v>43830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6">
        <f t="shared" si="29"/>
        <v>43830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6">
        <f t="shared" si="29"/>
        <v>43830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6">
        <f t="shared" si="29"/>
        <v>43830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6">
        <f t="shared" si="29"/>
        <v>43830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6">
        <f t="shared" si="29"/>
        <v>43830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6">
        <f t="shared" si="29"/>
        <v>43830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6">
        <f t="shared" si="29"/>
        <v>43830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6">
        <f t="shared" si="29"/>
        <v>43830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6">
        <f t="shared" si="29"/>
        <v>43830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6">
        <f t="shared" si="29"/>
        <v>43830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6">
        <f t="shared" si="29"/>
        <v>43830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6">
        <f t="shared" si="29"/>
        <v>43830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0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6">
        <f t="shared" si="29"/>
        <v>43830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6">
        <f t="shared" si="29"/>
        <v>43830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6">
        <f t="shared" si="29"/>
        <v>43830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0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6">
        <f t="shared" si="29"/>
        <v>43830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6">
        <f t="shared" si="29"/>
        <v>43830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6">
        <f t="shared" si="29"/>
        <v>43830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6">
        <f t="shared" si="29"/>
        <v>43830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6">
        <f t="shared" si="29"/>
        <v>43830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6">
        <f t="shared" si="29"/>
        <v>43830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6">
        <f t="shared" si="29"/>
        <v>43830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6">
        <f t="shared" si="29"/>
        <v>43830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6">
        <f t="shared" si="29"/>
        <v>43830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6">
        <f t="shared" si="29"/>
        <v>43830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6">
        <f t="shared" si="29"/>
        <v>43830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6">
        <f t="shared" si="29"/>
        <v>43830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6">
        <f t="shared" si="29"/>
        <v>43830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6">
        <f t="shared" si="29"/>
        <v>43830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6">
        <f t="shared" si="29"/>
        <v>43830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6">
        <f t="shared" si="29"/>
        <v>43830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6">
        <f aca="true" t="shared" si="32" ref="C410:C459">endDate</f>
        <v>43830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6">
        <f t="shared" si="32"/>
        <v>43830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6">
        <f t="shared" si="32"/>
        <v>43830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6">
        <f t="shared" si="32"/>
        <v>43830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6">
        <f t="shared" si="32"/>
        <v>43830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6">
        <f t="shared" si="32"/>
        <v>43830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6">
        <f t="shared" si="32"/>
        <v>43830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88300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6">
        <f t="shared" si="32"/>
        <v>43830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-3769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6">
        <f t="shared" si="32"/>
        <v>43830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-3769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6">
        <f t="shared" si="32"/>
        <v>43830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6">
        <f t="shared" si="32"/>
        <v>43830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84531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6">
        <f t="shared" si="32"/>
        <v>43830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4259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6">
        <f t="shared" si="32"/>
        <v>43830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6">
        <f t="shared" si="32"/>
        <v>43830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6">
        <f t="shared" si="32"/>
        <v>43830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6">
        <f t="shared" si="32"/>
        <v>43830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6">
        <f t="shared" si="32"/>
        <v>43830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6">
        <f t="shared" si="32"/>
        <v>43830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6">
        <f t="shared" si="32"/>
        <v>43830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6">
        <f t="shared" si="32"/>
        <v>43830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6">
        <f t="shared" si="32"/>
        <v>43830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6">
        <f t="shared" si="32"/>
        <v>43830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6">
        <f t="shared" si="32"/>
        <v>43830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6">
        <f t="shared" si="32"/>
        <v>43830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0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6">
        <f t="shared" si="32"/>
        <v>43830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88790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6">
        <f t="shared" si="32"/>
        <v>43830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935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6">
        <f t="shared" si="32"/>
        <v>43830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6">
        <f t="shared" si="32"/>
        <v>43830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89725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6">
        <f t="shared" si="32"/>
        <v>43830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15747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6">
        <f t="shared" si="32"/>
        <v>43830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6">
        <f t="shared" si="32"/>
        <v>43830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6">
        <f t="shared" si="32"/>
        <v>43830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6">
        <f t="shared" si="32"/>
        <v>43830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15747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6">
        <f t="shared" si="32"/>
        <v>43830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363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6">
        <f t="shared" si="32"/>
        <v>43830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6">
        <f t="shared" si="32"/>
        <v>43830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6">
        <f t="shared" si="32"/>
        <v>43830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6">
        <f t="shared" si="32"/>
        <v>43830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6">
        <f t="shared" si="32"/>
        <v>43830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6">
        <f t="shared" si="32"/>
        <v>43830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6">
        <f t="shared" si="32"/>
        <v>43830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6">
        <f t="shared" si="32"/>
        <v>43830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6">
        <f t="shared" si="32"/>
        <v>43830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6">
        <f t="shared" si="32"/>
        <v>43830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6">
        <f t="shared" si="32"/>
        <v>43830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6">
        <f t="shared" si="32"/>
        <v>43830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6">
        <f t="shared" si="32"/>
        <v>43830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16110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6">
        <f t="shared" si="32"/>
        <v>43830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-647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6">
        <f t="shared" si="32"/>
        <v>43830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6">
        <f t="shared" si="32"/>
        <v>43830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15463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2017-11-29T16:20:42Z</cp:lastPrinted>
  <dcterms:created xsi:type="dcterms:W3CDTF">2006-09-16T00:00:00Z</dcterms:created>
  <dcterms:modified xsi:type="dcterms:W3CDTF">2020-02-29T09:46:03Z</dcterms:modified>
  <cp:category/>
  <cp:version/>
  <cp:contentType/>
  <cp:contentStatus/>
</cp:coreProperties>
</file>